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danilo.pesenti.IECISRL\Desktop\"/>
    </mc:Choice>
  </mc:AlternateContent>
  <xr:revisionPtr revIDLastSave="0" documentId="13_ncr:1_{DBE355F5-6749-409E-A299-46027FD5FD61}" xr6:coauthVersionLast="43" xr6:coauthVersionMax="43" xr10:uidLastSave="{00000000-0000-0000-0000-000000000000}"/>
  <bookViews>
    <workbookView xWindow="3315" yWindow="165" windowWidth="24675" windowHeight="15240" activeTab="3" xr2:uid="{00000000-000D-0000-FFFF-FFFF00000000}"/>
  </bookViews>
  <sheets>
    <sheet name="Grand Total" sheetId="4" r:id="rId1"/>
    <sheet name="Intruder" sheetId="1" r:id="rId2"/>
    <sheet name="CCTV" sheetId="2" r:id="rId3"/>
    <sheet name="Access" sheetId="5" r:id="rId4"/>
    <sheet name="PSIM (not required for now)" sheetId="7" r:id="rId5"/>
  </sheets>
  <externalReferences>
    <externalReference r:id="rId6"/>
  </externalReferences>
  <definedNames>
    <definedName name="Costo_Tot">[1]Intruder!$R$104</definedName>
    <definedName name="mk_materiale">[1]Intruder!$U$7</definedName>
    <definedName name="mk_mpo">[1]Intruder!$U$8</definedName>
    <definedName name="Ore_Tot_2P">[1]Intruder!$R$69</definedName>
    <definedName name="ScontoListinoAccessi">'[1]Riepilogo USO INTERNO'!$F$34</definedName>
    <definedName name="ScontoListinoAllarme">'[1]Riepilogo USO INTERNO'!$F$32</definedName>
    <definedName name="ScontoListinoTVCC">'[1]Riepilogo USO INTERNO'!$F$33</definedName>
  </definedNames>
  <calcPr calcId="181029"/>
  <customWorkbookViews>
    <customWorkbookView name="EdwardvdBerg - Persoonlijke weergave" guid="{3E842511-23E9-411A-81C3-49DA0CD0D1AF}" mergeInterval="0" personalView="1" maximized="1" windowWidth="1436" windowHeight="627"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0" i="5" l="1"/>
  <c r="K53" i="2"/>
  <c r="I17" i="1"/>
  <c r="J15" i="1"/>
  <c r="I15" i="1"/>
  <c r="I50" i="2"/>
  <c r="H50" i="2"/>
  <c r="G46" i="5" l="1"/>
  <c r="G45" i="5"/>
  <c r="H19" i="5"/>
  <c r="F30" i="5"/>
  <c r="F27" i="5"/>
  <c r="F24" i="5"/>
  <c r="F23" i="5"/>
  <c r="F22" i="5"/>
  <c r="F21" i="5"/>
  <c r="F19" i="5"/>
  <c r="F16" i="5"/>
  <c r="D30" i="5"/>
  <c r="D20" i="5"/>
  <c r="D22" i="5" s="1"/>
  <c r="G58" i="2"/>
  <c r="G57" i="2"/>
  <c r="G56" i="2"/>
  <c r="G55" i="2"/>
  <c r="F42" i="2"/>
  <c r="F40" i="2"/>
  <c r="F39" i="2"/>
  <c r="F38" i="2"/>
  <c r="F37" i="2"/>
  <c r="F36" i="2"/>
  <c r="F35" i="2"/>
  <c r="F33" i="2"/>
  <c r="G33" i="2" s="1"/>
  <c r="F30" i="2"/>
  <c r="F28" i="2"/>
  <c r="F25" i="2"/>
  <c r="F24" i="2"/>
  <c r="F23" i="2"/>
  <c r="F18" i="2"/>
  <c r="D42" i="2"/>
  <c r="D38" i="2"/>
  <c r="I38" i="2" s="1"/>
  <c r="J38" i="2" s="1"/>
  <c r="D37" i="2"/>
  <c r="I37" i="2" s="1"/>
  <c r="J37" i="2" s="1"/>
  <c r="P29" i="2"/>
  <c r="Q29" i="2" s="1"/>
  <c r="O29" i="2"/>
  <c r="L29" i="2"/>
  <c r="I29" i="2"/>
  <c r="J29" i="2" s="1"/>
  <c r="G29" i="2"/>
  <c r="O40" i="2"/>
  <c r="L40" i="2"/>
  <c r="J40" i="2"/>
  <c r="I40" i="2"/>
  <c r="G40" i="2"/>
  <c r="L39" i="2"/>
  <c r="L38" i="2"/>
  <c r="L37" i="2"/>
  <c r="O36" i="2"/>
  <c r="L36" i="2"/>
  <c r="I36" i="2"/>
  <c r="J36" i="2" s="1"/>
  <c r="G36" i="2"/>
  <c r="O35" i="2"/>
  <c r="M35" i="2"/>
  <c r="L35" i="2"/>
  <c r="I35" i="2"/>
  <c r="J35" i="2" s="1"/>
  <c r="G35" i="2"/>
  <c r="O34" i="2"/>
  <c r="L34" i="2"/>
  <c r="I34" i="2"/>
  <c r="J34" i="2" s="1"/>
  <c r="G34" i="2"/>
  <c r="O33" i="2"/>
  <c r="L33" i="2"/>
  <c r="I33" i="2"/>
  <c r="J33" i="2" s="1"/>
  <c r="O32" i="2"/>
  <c r="M32" i="2"/>
  <c r="I32" i="2"/>
  <c r="J32" i="2" s="1"/>
  <c r="G32" i="2"/>
  <c r="I19" i="2"/>
  <c r="J19" i="2" s="1"/>
  <c r="G19" i="2"/>
  <c r="F40" i="1"/>
  <c r="F39" i="1"/>
  <c r="F32" i="1"/>
  <c r="F30" i="1"/>
  <c r="F28" i="1"/>
  <c r="F20" i="1"/>
  <c r="F18" i="1"/>
  <c r="F16" i="1"/>
  <c r="F15" i="1"/>
  <c r="D27" i="1"/>
  <c r="D20" i="1"/>
  <c r="D39" i="2" l="1"/>
  <c r="M37" i="2"/>
  <c r="O37" i="2"/>
  <c r="R29" i="2"/>
  <c r="S29" i="2" s="1"/>
  <c r="M38" i="2"/>
  <c r="O38" i="2"/>
  <c r="M29" i="2"/>
  <c r="M34" i="2"/>
  <c r="M40" i="2"/>
  <c r="M33" i="2"/>
  <c r="M36" i="2"/>
  <c r="G37" i="2"/>
  <c r="G38" i="2"/>
  <c r="G18" i="5"/>
  <c r="I18" i="5"/>
  <c r="J18" i="5" s="1"/>
  <c r="I44" i="7"/>
  <c r="J44" i="7" s="1"/>
  <c r="G44" i="7"/>
  <c r="I43" i="7"/>
  <c r="J43" i="7" s="1"/>
  <c r="G43" i="7"/>
  <c r="J42" i="7"/>
  <c r="I42" i="7"/>
  <c r="G42" i="7"/>
  <c r="I41" i="7"/>
  <c r="J41" i="7" s="1"/>
  <c r="G41" i="7"/>
  <c r="I40" i="7"/>
  <c r="J40" i="7" s="1"/>
  <c r="G40" i="7"/>
  <c r="I39" i="7"/>
  <c r="J39" i="7" s="1"/>
  <c r="G39" i="7"/>
  <c r="I33" i="7"/>
  <c r="J33" i="7" s="1"/>
  <c r="G33" i="7"/>
  <c r="J32" i="7"/>
  <c r="I32" i="7"/>
  <c r="G32" i="7"/>
  <c r="I31" i="7"/>
  <c r="J31" i="7" s="1"/>
  <c r="G31" i="7"/>
  <c r="I30" i="7"/>
  <c r="J30" i="7" s="1"/>
  <c r="G30" i="7"/>
  <c r="I29" i="7"/>
  <c r="J29" i="7" s="1"/>
  <c r="G29" i="7"/>
  <c r="J28" i="7"/>
  <c r="I28" i="7"/>
  <c r="G28" i="7"/>
  <c r="I27" i="7"/>
  <c r="J27" i="7" s="1"/>
  <c r="G27" i="7"/>
  <c r="I26" i="7"/>
  <c r="J26" i="7" s="1"/>
  <c r="G26" i="7"/>
  <c r="I25" i="7"/>
  <c r="J25" i="7" s="1"/>
  <c r="G25" i="7"/>
  <c r="J24" i="7"/>
  <c r="I24" i="7"/>
  <c r="G24" i="7"/>
  <c r="I23" i="7"/>
  <c r="J23" i="7" s="1"/>
  <c r="G23" i="7"/>
  <c r="I22" i="7"/>
  <c r="J22" i="7" s="1"/>
  <c r="G22" i="7"/>
  <c r="I21" i="7"/>
  <c r="J21" i="7" s="1"/>
  <c r="G21" i="7"/>
  <c r="I20" i="7"/>
  <c r="J20" i="7" s="1"/>
  <c r="G20" i="7"/>
  <c r="I19" i="7"/>
  <c r="J19" i="7" s="1"/>
  <c r="G19" i="7"/>
  <c r="I18" i="7"/>
  <c r="J18" i="7" s="1"/>
  <c r="G18" i="7"/>
  <c r="I17" i="7"/>
  <c r="J17" i="7" s="1"/>
  <c r="G17" i="7"/>
  <c r="J16" i="7"/>
  <c r="I16" i="7"/>
  <c r="G16" i="7"/>
  <c r="I15" i="7"/>
  <c r="J15" i="7" s="1"/>
  <c r="G15" i="7"/>
  <c r="I14" i="7"/>
  <c r="J14" i="7" s="1"/>
  <c r="G14" i="7"/>
  <c r="I13" i="7"/>
  <c r="J13" i="7" s="1"/>
  <c r="G13" i="7"/>
  <c r="I11" i="7"/>
  <c r="J11" i="7" s="1"/>
  <c r="G11" i="7"/>
  <c r="I10" i="7"/>
  <c r="J10" i="7" s="1"/>
  <c r="G10" i="7"/>
  <c r="E5" i="7"/>
  <c r="E3" i="7"/>
  <c r="E1" i="7"/>
  <c r="G40" i="1"/>
  <c r="I40" i="1"/>
  <c r="J40" i="1" s="1"/>
  <c r="M39" i="2" l="1"/>
  <c r="G39" i="2"/>
  <c r="I39" i="2"/>
  <c r="J39" i="2" s="1"/>
  <c r="O39" i="2"/>
  <c r="J36" i="7"/>
  <c r="J46" i="7"/>
  <c r="I57" i="1"/>
  <c r="G57" i="1"/>
  <c r="I50" i="5"/>
  <c r="J50" i="5" s="1"/>
  <c r="G50" i="5"/>
  <c r="I49" i="5"/>
  <c r="J49" i="5" s="1"/>
  <c r="G49" i="5"/>
  <c r="I48" i="5"/>
  <c r="J48" i="5" s="1"/>
  <c r="G48" i="5"/>
  <c r="I47" i="5"/>
  <c r="J47" i="5" s="1"/>
  <c r="G47" i="5"/>
  <c r="I46" i="5"/>
  <c r="J46" i="5" s="1"/>
  <c r="I45" i="5"/>
  <c r="J45" i="5" s="1"/>
  <c r="I39" i="5"/>
  <c r="J39" i="5" s="1"/>
  <c r="G39" i="5"/>
  <c r="I38" i="5"/>
  <c r="J38" i="5" s="1"/>
  <c r="G38" i="5"/>
  <c r="I37" i="5"/>
  <c r="J37" i="5" s="1"/>
  <c r="G37" i="5"/>
  <c r="I36" i="5"/>
  <c r="J36" i="5" s="1"/>
  <c r="G36" i="5"/>
  <c r="I35" i="5"/>
  <c r="J35" i="5" s="1"/>
  <c r="G35" i="5"/>
  <c r="I34" i="5"/>
  <c r="J34" i="5" s="1"/>
  <c r="G34" i="5"/>
  <c r="I33" i="5"/>
  <c r="J33" i="5" s="1"/>
  <c r="G33" i="5"/>
  <c r="I32" i="5"/>
  <c r="J32" i="5" s="1"/>
  <c r="G32" i="5"/>
  <c r="J31" i="5"/>
  <c r="I31" i="5"/>
  <c r="G31" i="5"/>
  <c r="I30" i="5"/>
  <c r="J30" i="5" s="1"/>
  <c r="G30" i="5"/>
  <c r="I29" i="5"/>
  <c r="J29" i="5" s="1"/>
  <c r="G29" i="5"/>
  <c r="I28" i="5"/>
  <c r="J28" i="5" s="1"/>
  <c r="G28" i="5"/>
  <c r="I27" i="5"/>
  <c r="J27" i="5" s="1"/>
  <c r="G27" i="5"/>
  <c r="I26" i="5"/>
  <c r="J26" i="5" s="1"/>
  <c r="G26" i="5"/>
  <c r="I25" i="5"/>
  <c r="G25" i="5"/>
  <c r="I24" i="5"/>
  <c r="J24" i="5" s="1"/>
  <c r="G24" i="5"/>
  <c r="I23" i="5"/>
  <c r="J23" i="5" s="1"/>
  <c r="G23" i="5"/>
  <c r="I22" i="5"/>
  <c r="J22" i="5" s="1"/>
  <c r="G22" i="5"/>
  <c r="I21" i="5"/>
  <c r="J21" i="5" s="1"/>
  <c r="G21" i="5"/>
  <c r="I20" i="5"/>
  <c r="J20" i="5" s="1"/>
  <c r="G20" i="5"/>
  <c r="I19" i="5"/>
  <c r="J19" i="5" s="1"/>
  <c r="G19" i="5"/>
  <c r="I17" i="5"/>
  <c r="J17" i="5" s="1"/>
  <c r="G17" i="5"/>
  <c r="I16" i="5"/>
  <c r="J16" i="5" s="1"/>
  <c r="G16" i="5"/>
  <c r="E5" i="5"/>
  <c r="E3" i="5"/>
  <c r="E1" i="5"/>
  <c r="J25" i="5" l="1"/>
  <c r="I40" i="5"/>
  <c r="K43" i="5" s="1"/>
  <c r="J52" i="5"/>
  <c r="E16" i="4" s="1"/>
  <c r="J42" i="5"/>
  <c r="E15" i="4" s="1"/>
  <c r="G46" i="2"/>
  <c r="I46" i="2"/>
  <c r="J46" i="2" s="1"/>
  <c r="G47" i="2"/>
  <c r="I47" i="2"/>
  <c r="J47" i="2" s="1"/>
  <c r="G48" i="2"/>
  <c r="I48" i="2"/>
  <c r="J48" i="2" s="1"/>
  <c r="G49" i="2"/>
  <c r="I49" i="2"/>
  <c r="J49" i="2" s="1"/>
  <c r="G30" i="2"/>
  <c r="I30" i="2"/>
  <c r="J30" i="2" s="1"/>
  <c r="G31" i="2"/>
  <c r="I31" i="2"/>
  <c r="J31" i="2" s="1"/>
  <c r="G41" i="2"/>
  <c r="I41" i="2"/>
  <c r="J41" i="2" s="1"/>
  <c r="G15" i="1"/>
  <c r="G16" i="1"/>
  <c r="G17" i="1"/>
  <c r="G18" i="1"/>
  <c r="G19" i="1"/>
  <c r="G20" i="1"/>
  <c r="G21" i="1"/>
  <c r="G22" i="1"/>
  <c r="G23" i="1"/>
  <c r="G24" i="1"/>
  <c r="G25" i="1"/>
  <c r="G26" i="1"/>
  <c r="G27" i="1"/>
  <c r="G28" i="1"/>
  <c r="G29" i="1"/>
  <c r="G30" i="1"/>
  <c r="G31" i="1"/>
  <c r="G32" i="1"/>
  <c r="G33" i="1"/>
  <c r="G34" i="1"/>
  <c r="G35" i="1"/>
  <c r="G36" i="1"/>
  <c r="G37" i="1"/>
  <c r="G38" i="1"/>
  <c r="G39" i="1"/>
  <c r="G41" i="1"/>
  <c r="G42" i="1"/>
  <c r="G43" i="1"/>
  <c r="G44" i="1"/>
  <c r="G45" i="1"/>
  <c r="G46" i="1"/>
  <c r="G47" i="1"/>
  <c r="G48" i="1"/>
  <c r="G49" i="1"/>
  <c r="G50" i="1"/>
  <c r="I16" i="1"/>
  <c r="J16" i="1" s="1"/>
  <c r="J17" i="1"/>
  <c r="I18" i="1"/>
  <c r="J18"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2" i="1"/>
  <c r="J32" i="1" s="1"/>
  <c r="I33" i="1"/>
  <c r="J33" i="1" s="1"/>
  <c r="I34" i="1"/>
  <c r="J34" i="1" s="1"/>
  <c r="I35" i="1"/>
  <c r="J35" i="1" s="1"/>
  <c r="I36" i="1"/>
  <c r="J36" i="1" s="1"/>
  <c r="I37" i="1"/>
  <c r="J37" i="1" s="1"/>
  <c r="I38" i="1"/>
  <c r="J38" i="1" s="1"/>
  <c r="I39" i="1"/>
  <c r="J39" i="1" s="1"/>
  <c r="I41" i="1"/>
  <c r="J41" i="1" s="1"/>
  <c r="I42" i="1"/>
  <c r="J42" i="1" s="1"/>
  <c r="I43" i="1"/>
  <c r="J43" i="1" s="1"/>
  <c r="I44" i="1"/>
  <c r="J44" i="1" s="1"/>
  <c r="I45" i="1"/>
  <c r="J45" i="1" s="1"/>
  <c r="I46" i="1"/>
  <c r="J46" i="1" s="1"/>
  <c r="I47" i="1"/>
  <c r="J47" i="1" s="1"/>
  <c r="I48" i="1"/>
  <c r="J48" i="1" s="1"/>
  <c r="I49" i="1"/>
  <c r="J49" i="1" s="1"/>
  <c r="I50" i="1"/>
  <c r="J50" i="1" s="1"/>
  <c r="G51" i="1"/>
  <c r="I51" i="1"/>
  <c r="J51" i="1" s="1"/>
  <c r="G52" i="1"/>
  <c r="I52" i="1"/>
  <c r="J52" i="1" s="1"/>
  <c r="G59" i="2"/>
  <c r="I56" i="2"/>
  <c r="J56" i="2" s="1"/>
  <c r="I57" i="2"/>
  <c r="J57" i="2" s="1"/>
  <c r="I58" i="2"/>
  <c r="J58" i="2" s="1"/>
  <c r="I59" i="2"/>
  <c r="J59" i="2" s="1"/>
  <c r="I25" i="2"/>
  <c r="J25" i="2" s="1"/>
  <c r="I26" i="2"/>
  <c r="J26" i="2" s="1"/>
  <c r="I27" i="2"/>
  <c r="J27" i="2" s="1"/>
  <c r="I28" i="2"/>
  <c r="J28" i="2" s="1"/>
  <c r="I42" i="2"/>
  <c r="J42" i="2" s="1"/>
  <c r="I43" i="2"/>
  <c r="J43" i="2" s="1"/>
  <c r="I44" i="2"/>
  <c r="J44" i="2" s="1"/>
  <c r="G25" i="2"/>
  <c r="G26" i="2"/>
  <c r="G27" i="2"/>
  <c r="G28" i="2"/>
  <c r="G42" i="2"/>
  <c r="G43" i="2"/>
  <c r="G44" i="2"/>
  <c r="E5" i="2"/>
  <c r="E5" i="1"/>
  <c r="E4" i="1"/>
  <c r="E1" i="2"/>
  <c r="E1" i="1"/>
  <c r="E3" i="1"/>
  <c r="E3" i="2"/>
  <c r="I60" i="1"/>
  <c r="J60" i="1" s="1"/>
  <c r="G60" i="1"/>
  <c r="I59" i="1"/>
  <c r="J59" i="1" s="1"/>
  <c r="G59" i="1"/>
  <c r="I61" i="1"/>
  <c r="J61" i="1"/>
  <c r="G61" i="1"/>
  <c r="I58" i="1"/>
  <c r="J58" i="1" s="1"/>
  <c r="G58" i="1"/>
  <c r="I45" i="2"/>
  <c r="J45" i="2" s="1"/>
  <c r="G45" i="2"/>
  <c r="I24" i="2"/>
  <c r="J24" i="2" s="1"/>
  <c r="G24" i="2"/>
  <c r="I23" i="2"/>
  <c r="J23" i="2" s="1"/>
  <c r="G23" i="2"/>
  <c r="I22" i="2"/>
  <c r="J22" i="2" s="1"/>
  <c r="G22" i="2"/>
  <c r="E17" i="4"/>
  <c r="G17" i="2"/>
  <c r="I17" i="2"/>
  <c r="J17" i="2" s="1"/>
  <c r="G60" i="2"/>
  <c r="I60" i="2"/>
  <c r="J60" i="2" s="1"/>
  <c r="I55" i="2"/>
  <c r="J55" i="2" s="1"/>
  <c r="I21" i="2"/>
  <c r="J21" i="2" s="1"/>
  <c r="G21" i="2"/>
  <c r="I20" i="2"/>
  <c r="J20" i="2" s="1"/>
  <c r="G20" i="2"/>
  <c r="I18" i="2"/>
  <c r="J18" i="2" s="1"/>
  <c r="G18" i="2"/>
  <c r="I16" i="2"/>
  <c r="J16" i="2" s="1"/>
  <c r="G16" i="2"/>
  <c r="I63" i="1"/>
  <c r="J63" i="1" s="1"/>
  <c r="I64" i="1"/>
  <c r="J64" i="1" s="1"/>
  <c r="I65" i="1"/>
  <c r="J65" i="1" s="1"/>
  <c r="I62" i="1"/>
  <c r="J62" i="1" s="1"/>
  <c r="J57" i="1"/>
  <c r="G62" i="1"/>
  <c r="G63" i="1"/>
  <c r="G64" i="1"/>
  <c r="G65" i="1"/>
  <c r="L44" i="5" l="1"/>
  <c r="L54" i="2"/>
  <c r="J54" i="1"/>
  <c r="E11" i="4" s="1"/>
  <c r="J67" i="1"/>
  <c r="E12" i="4" s="1"/>
  <c r="J62" i="2"/>
  <c r="E14" i="4" s="1"/>
  <c r="J52" i="2"/>
  <c r="E13" i="4" s="1"/>
  <c r="E19" i="4" l="1"/>
  <c r="P39" i="2" l="1"/>
  <c r="P33" i="2"/>
  <c r="P32" i="2"/>
  <c r="P35" i="2"/>
  <c r="P40" i="2"/>
  <c r="P38" i="2"/>
  <c r="P37" i="2"/>
  <c r="P36" i="2"/>
  <c r="P34" i="2"/>
  <c r="R40" i="2" l="1"/>
  <c r="S40" i="2" s="1"/>
  <c r="Q40" i="2"/>
  <c r="Q37" i="2"/>
  <c r="R37" i="2"/>
  <c r="S37" i="2" s="1"/>
  <c r="R38" i="2"/>
  <c r="S38" i="2" s="1"/>
  <c r="Q38" i="2"/>
  <c r="R34" i="2"/>
  <c r="S34" i="2" s="1"/>
  <c r="Q34" i="2"/>
  <c r="Q36" i="2"/>
  <c r="R36" i="2"/>
  <c r="S36" i="2" s="1"/>
  <c r="Q32" i="2"/>
  <c r="R32" i="2"/>
  <c r="S32" i="2" s="1"/>
  <c r="Q35" i="2"/>
  <c r="R35" i="2"/>
  <c r="S35" i="2" s="1"/>
  <c r="Q33" i="2"/>
  <c r="R33" i="2"/>
  <c r="S33" i="2" s="1"/>
  <c r="Q39" i="2"/>
  <c r="R39" i="2"/>
  <c r="S39" i="2" s="1"/>
</calcChain>
</file>

<file path=xl/sharedStrings.xml><?xml version="1.0" encoding="utf-8"?>
<sst xmlns="http://schemas.openxmlformats.org/spreadsheetml/2006/main" count="514" uniqueCount="227">
  <si>
    <t>Basic Sales Price :</t>
  </si>
  <si>
    <t>Qty</t>
  </si>
  <si>
    <t xml:space="preserve">European           Product             Code </t>
  </si>
  <si>
    <t>Supllier</t>
  </si>
  <si>
    <t>Basic package intruder</t>
  </si>
  <si>
    <t>Basic package CCTV - IP</t>
  </si>
  <si>
    <t>Basic Sales Price Intrusion System</t>
  </si>
  <si>
    <t>Basic Sales Price CCTV System</t>
  </si>
  <si>
    <t>Grand Total Above Systems</t>
  </si>
  <si>
    <t>Amount of installation hours per unit</t>
  </si>
  <si>
    <t>Total installation hours</t>
  </si>
  <si>
    <t>Total installation costs</t>
  </si>
  <si>
    <t>Total amount equipment</t>
  </si>
  <si>
    <t>Total  Price :</t>
  </si>
  <si>
    <t>Total Options:</t>
  </si>
  <si>
    <t>Price Option:</t>
  </si>
  <si>
    <t>Travel Cost Specification line 15</t>
  </si>
  <si>
    <t>When hotel and overnight expenses are required please explain why this is needed (store too far from company, travel time too long etc.)</t>
  </si>
  <si>
    <t>Variables (travel cost etc. ; needs to be specified to be accepted, see lines 23-30)</t>
  </si>
  <si>
    <t>Total Price (add totals per line below)</t>
  </si>
  <si>
    <t>Honeywell</t>
  </si>
  <si>
    <t>Zalando Quotation sheet Template</t>
  </si>
  <si>
    <t>C520-D-E2</t>
  </si>
  <si>
    <t>Galaxy Dimension GD-520 Panel, 16 zones on board</t>
  </si>
  <si>
    <t>C072</t>
  </si>
  <si>
    <t>Galaxy RIO pcb only add. 8 zones</t>
  </si>
  <si>
    <t>Galaxy RIO in plastic box add 8 zones</t>
  </si>
  <si>
    <t>A158-B</t>
  </si>
  <si>
    <t>P026-01-B</t>
  </si>
  <si>
    <t>Galaxy Smart PSU, 2,75A, incl rio add. 8 zones</t>
  </si>
  <si>
    <t>A060</t>
  </si>
  <si>
    <t>A101</t>
  </si>
  <si>
    <t>Single Relay Interface pcb (1x1A, 12Vdc)</t>
  </si>
  <si>
    <t>4way Relay Interface pcb (4x1A,12Vdc)</t>
  </si>
  <si>
    <t xml:space="preserve">RC 230 </t>
  </si>
  <si>
    <t>AlarmTech</t>
  </si>
  <si>
    <t>Timer Relay for switching 220V Mains, 8 A</t>
  </si>
  <si>
    <t>Omron</t>
  </si>
  <si>
    <t>P2RF-08-E</t>
  </si>
  <si>
    <t>Base with screw connection for Omron Relay</t>
  </si>
  <si>
    <t>Omron relay 12Vdc 5A to switch mains</t>
  </si>
  <si>
    <t>G2R-2-SNI 12VDC</t>
  </si>
  <si>
    <t>Elmdene</t>
  </si>
  <si>
    <t>G13802N-A</t>
  </si>
  <si>
    <t>Switched PSU 12Vdc/2A in cabinet with tamper switch</t>
  </si>
  <si>
    <t>G13804N-C</t>
  </si>
  <si>
    <t>Switched PSU 12Vdc/4A in cabinet with tamper switch</t>
  </si>
  <si>
    <t>G1224-84N-4-C</t>
  </si>
  <si>
    <t>Switched PSU 12Vdc/8A in cabinet with tamper switch</t>
  </si>
  <si>
    <t>NP 7-12</t>
  </si>
  <si>
    <t>Yuasa</t>
  </si>
  <si>
    <t>Backup Lead Battery 12V 7Ah</t>
  </si>
  <si>
    <t>CP037-02</t>
  </si>
  <si>
    <t>MK7 LCD arm disarm keypad</t>
  </si>
  <si>
    <t>Strobe Flashlight</t>
  </si>
  <si>
    <t>Siren Indoor 111dB</t>
  </si>
  <si>
    <t>CQR</t>
  </si>
  <si>
    <t>SOSB2</t>
  </si>
  <si>
    <t>HF2S-AW-1-12-SMA</t>
  </si>
  <si>
    <t>JB720/WH</t>
  </si>
  <si>
    <t>Junction Box incl tamper - 8 screw terminations + 2 for tamper</t>
  </si>
  <si>
    <t>PADP2/SS/G1</t>
  </si>
  <si>
    <t>Panic button incl tamper double button</t>
  </si>
  <si>
    <t>4RSC50SS300GN</t>
  </si>
  <si>
    <t>Overhead door contact incl. galaxy resistors</t>
  </si>
  <si>
    <t>Surface mount door contact incl galaxy resistors</t>
  </si>
  <si>
    <t>4S-300-GN-IN</t>
  </si>
  <si>
    <t>4M-300-GN-IN</t>
  </si>
  <si>
    <t>Flush mount door contact incl galaxy resistors</t>
  </si>
  <si>
    <t>Optex</t>
  </si>
  <si>
    <t>PEU-D (10pcs)</t>
  </si>
  <si>
    <t xml:space="preserve">Optex EOL resistor block pack (10 pcs) for optex detectors </t>
  </si>
  <si>
    <t>SX-360Z</t>
  </si>
  <si>
    <t>Optex ceiling detector 360, 18m, 76 zones</t>
  </si>
  <si>
    <t>FA-3 BRACKET</t>
  </si>
  <si>
    <t>FMX-ST</t>
  </si>
  <si>
    <t>PIR detector 15x15m</t>
  </si>
  <si>
    <t>Optex ceiling / wall mounting bracket for PIR's FMX series</t>
  </si>
  <si>
    <t>TS300//A</t>
  </si>
  <si>
    <t>Temp Sensor Dual (high-low)</t>
  </si>
  <si>
    <t>470-12</t>
  </si>
  <si>
    <t>Water detector</t>
  </si>
  <si>
    <t>FG1625SNAS</t>
  </si>
  <si>
    <t>Acoustic glass break detector</t>
  </si>
  <si>
    <t>GT40-NG</t>
  </si>
  <si>
    <t>Dual Path IP/3G module for Galaxy Dimension</t>
  </si>
  <si>
    <t>R058-CD-DG</t>
  </si>
  <si>
    <t>Galaxy User Management Suite Software incl system config</t>
  </si>
  <si>
    <t>labour only</t>
  </si>
  <si>
    <t>contr</t>
  </si>
  <si>
    <t>Programming of intrusion system</t>
  </si>
  <si>
    <t>Test, commision and handover</t>
  </si>
  <si>
    <t>User training to end user</t>
  </si>
  <si>
    <t>Optional extra intruder (items not mentioned in the basic pack)</t>
  </si>
  <si>
    <t>Optional extra CCTV - IP (items not mentioned in the basic pack)</t>
  </si>
  <si>
    <t>Optional extra Sales Price Intrusion System</t>
  </si>
  <si>
    <t>Optional extra Sales Price CCTV System</t>
  </si>
  <si>
    <t>[specify variable 1: i.e. travel cost]</t>
  </si>
  <si>
    <t>[specify variable 2: i.e. PM cost]</t>
  </si>
  <si>
    <t>[specify variable 3: i.e. high worker rental cost]</t>
  </si>
  <si>
    <t>[specify variable 4: etc.]</t>
  </si>
  <si>
    <t>[specify variable 5: etc.]</t>
  </si>
  <si>
    <t>[specify variable 6: etc.]</t>
  </si>
  <si>
    <t>[specify variable 7: etc.]</t>
  </si>
  <si>
    <t>[specify variable 8: etc.]</t>
  </si>
  <si>
    <t>M3007-P</t>
  </si>
  <si>
    <t>M3044-V</t>
  </si>
  <si>
    <t>M3045-V</t>
  </si>
  <si>
    <t>M1145-L</t>
  </si>
  <si>
    <t>P1425-LE Mk II</t>
  </si>
  <si>
    <t>P1435-LE</t>
  </si>
  <si>
    <t>P3225-VE Mk II</t>
  </si>
  <si>
    <t>Axis</t>
  </si>
  <si>
    <t>M3027-PVE</t>
  </si>
  <si>
    <t>AXIS A8004-VE</t>
  </si>
  <si>
    <t>AXIS IP Hemisferic Dome ext camera , Day/ night , 5 MP Vandalproof</t>
  </si>
  <si>
    <t>AXIS IP fixed dome 720p 25fps WDR</t>
  </si>
  <si>
    <t>AXIS IP Dome M3045-V, indoor, 106° angle, 1080P</t>
  </si>
  <si>
    <t>AXIS IP Cam M1145-L, Day/night with IR LED, Lens 3-10mm, 1080p</t>
  </si>
  <si>
    <t>AXIS Bullet IP cam outdoor P1425-LE, Day/night with opt IR,  WDR</t>
  </si>
  <si>
    <t>AXIS Bullet IP cam outdoor P1435-LE, Day/night IR Lens 3-10,5mm</t>
  </si>
  <si>
    <t>AXIS Dome IP cam outdoor P3225-VE, Day/night IR Lens 3-10,5mm</t>
  </si>
  <si>
    <t>Pole mount clamp</t>
  </si>
  <si>
    <t>Nedap</t>
  </si>
  <si>
    <t xml:space="preserve">Nedap ANPR cam  </t>
  </si>
  <si>
    <t>Wall Mount bracket</t>
  </si>
  <si>
    <t>Axis Video Intercom station</t>
  </si>
  <si>
    <t>360 cam Axis</t>
  </si>
  <si>
    <t>Kiwi Analytics Software</t>
  </si>
  <si>
    <t>Camera licencing</t>
  </si>
  <si>
    <t>Your sell price per unit</t>
  </si>
  <si>
    <t>Basic Sales Price Access System</t>
  </si>
  <si>
    <t>Optional extra Sales Price Access System</t>
  </si>
  <si>
    <t>Please set your hourly labour rate for hardware installation here</t>
  </si>
  <si>
    <t>As build documentation</t>
  </si>
  <si>
    <t>Programming of cctv system</t>
  </si>
  <si>
    <t>Programming of access system</t>
  </si>
  <si>
    <t>as build documentation</t>
  </si>
  <si>
    <t>Basic package Access Nedap</t>
  </si>
  <si>
    <t>Optional extra Access Nedap (items not mentioned in the basic pack)</t>
  </si>
  <si>
    <t xml:space="preserve">Internal reader </t>
  </si>
  <si>
    <t>internal reader with pin</t>
  </si>
  <si>
    <t>external reader</t>
  </si>
  <si>
    <t>door contact</t>
  </si>
  <si>
    <t>sounder</t>
  </si>
  <si>
    <t>exit button</t>
  </si>
  <si>
    <t>override unit</t>
  </si>
  <si>
    <t>Central equipment unit</t>
  </si>
  <si>
    <t>internal reader UHF (for kitchen)</t>
  </si>
  <si>
    <t>PIR detector longbeam</t>
  </si>
  <si>
    <t>QUOTATION ZALANDO GF6 Verona Italy</t>
  </si>
  <si>
    <t>Basic cable installation works are provided by others! (Jacobs)</t>
  </si>
  <si>
    <t>Cable installation works are provided by others! (Jacobs)</t>
  </si>
  <si>
    <t>Date: 17-6-2019</t>
  </si>
  <si>
    <t>FILL YOUR LABOUR RATE PER HOUR IN THIS CELL FOR INSTALLING EQUIPMENT</t>
  </si>
  <si>
    <t>&lt;----------------</t>
  </si>
  <si>
    <t>ADD ADDITIONAL COST HERE WHICH CANNOT BE SPECIFIED IN THE CALC TABS</t>
  </si>
  <si>
    <t>as above</t>
  </si>
  <si>
    <t>AUTO FIELD</t>
  </si>
  <si>
    <t>Fill out qty based on drawings!</t>
  </si>
  <si>
    <t>Fill out sell price per unit</t>
  </si>
  <si>
    <t>Fill out labour time to install per unit</t>
  </si>
  <si>
    <t>v</t>
  </si>
  <si>
    <t>I</t>
  </si>
  <si>
    <t>Auto Field</t>
  </si>
  <si>
    <t>Auto field</t>
  </si>
  <si>
    <t>&lt;-----------</t>
  </si>
  <si>
    <t>Describe per row exactly what is quoted, model, type, do not change column G, I and J as these are automatic fields</t>
  </si>
  <si>
    <t>NOTE: ADD ROWS WHEN YOU PROPOSE EQUIPMENT NOT PRE-LISTED</t>
  </si>
  <si>
    <t>No machine hardware to be quoted (will be delivered by Zalando IT, but do provide the specs required)</t>
  </si>
  <si>
    <t>Genetec VMS Software</t>
  </si>
  <si>
    <t>Break down all materials / software quoted per item (also on software licences etc)</t>
  </si>
  <si>
    <t>Add rows where needed, we need to see exactly which parts are proposed</t>
  </si>
  <si>
    <t>IT hardware is provided by Zalando IT, do specify which specs are needed</t>
  </si>
  <si>
    <t>All contacts have been delivered and installed by ohers, allow time to terminate</t>
  </si>
  <si>
    <t>ANPR and Intercom has to be proposed in this sheet, specify all parts needed!</t>
  </si>
  <si>
    <t>PSIM</t>
  </si>
  <si>
    <t>Optional extra  PSIM</t>
  </si>
  <si>
    <t xml:space="preserve">Nedap controller </t>
  </si>
  <si>
    <t>Licenses by Enterprise vendor NtP Germany, allow for time to interact with NtP</t>
  </si>
  <si>
    <t>Software by Enterprise vendor NtP Germany, allow for time to interact with NtP</t>
  </si>
  <si>
    <t>DT906-IT</t>
  </si>
  <si>
    <t>M3105-LVE</t>
  </si>
  <si>
    <t>AXIS IP Dome M3105-LVE compact mini dome in a vandal-resistant, outdoor-ready, flat faced designe.Built -in IR illumination and WDR - Forensic Capture, Fixed Lens. 1080P</t>
  </si>
  <si>
    <t xml:space="preserve">GSC-Base-5x </t>
  </si>
  <si>
    <t>Genetec</t>
  </si>
  <si>
    <t>Genetec Security Center (GSC) Base Package - Version 5.x which includes: 1 Directory, 5 Security Desk client connections (incl. Web Client), Plan Manager Basic, Alarm Management, Advanced Reporting, System Partitioning, Zone Monitoring, IO Modules Support, Email Support, Macros Support (actual macros sold separately), Support for server virtualization, all supported languages. Must purchase a SynergisTM, OmnicastTM, or AutoVuTM base package to enable access control, video, or LPR content respectively.</t>
  </si>
  <si>
    <t>GSC-Om-P</t>
  </si>
  <si>
    <t>GSC Omnicast™ Professional Package which includes: Archiving support, Media Router, Audio, Remote Security Desk, Camera Sequences, Camera Blocking, Camera Dewarping, Time Zone, Edge recording, trickling and archive transfer, Keyboard and Joystick Support, Max. 250 cameras, Max. 10 clients, Max. 20 Archivers</t>
  </si>
  <si>
    <t>GSC-1U</t>
  </si>
  <si>
    <t>1 Genetec Security Desk client connection (incl. Web Client)</t>
  </si>
  <si>
    <t>GSC-1mobileU</t>
  </si>
  <si>
    <t>1 Security Center Mobile app connection</t>
  </si>
  <si>
    <t>GSC-Sipelia-Base</t>
  </si>
  <si>
    <t>GSC Sipelia™ Base Package</t>
  </si>
  <si>
    <t>GSC-Sipelia-1SIP-STD</t>
  </si>
  <si>
    <t>1 Standard Connection to an Intercom Station (requires GSC-Sipelia-Base)</t>
  </si>
  <si>
    <t>ADV-CAM-P-1Y</t>
  </si>
  <si>
    <t>Genetec Advantage for 1 Omnicast Pro Camera – 1 year</t>
  </si>
  <si>
    <t>ADV-SIP-S-1Y</t>
  </si>
  <si>
    <t>Genetec Advantage for 1 Sipelia Standard Intercom connection – 1 Year</t>
  </si>
  <si>
    <t>ADV-KIWIM-1Y</t>
  </si>
  <si>
    <t>Genetec Advantage for kiwiVision either Bundle One</t>
  </si>
  <si>
    <r>
      <t xml:space="preserve">T91A47 T </t>
    </r>
    <r>
      <rPr>
        <b/>
        <sz val="8"/>
        <color indexed="10"/>
        <rFont val="Arial"/>
        <family val="2"/>
      </rPr>
      <t xml:space="preserve"> T91B47 + T94T01D</t>
    </r>
  </si>
  <si>
    <r>
      <rPr>
        <b/>
        <strike/>
        <sz val="8"/>
        <rFont val="Arial"/>
        <family val="2"/>
      </rPr>
      <t>9949933</t>
    </r>
    <r>
      <rPr>
        <b/>
        <sz val="8"/>
        <rFont val="Arial"/>
        <family val="2"/>
      </rPr>
      <t xml:space="preserve"> </t>
    </r>
    <r>
      <rPr>
        <b/>
        <sz val="8"/>
        <color indexed="10"/>
        <rFont val="Arial"/>
        <family val="2"/>
      </rPr>
      <t>9986138</t>
    </r>
  </si>
  <si>
    <t>M3057-PLVE</t>
  </si>
  <si>
    <t>GSC-OM-P-1ID</t>
  </si>
  <si>
    <t>GSC-Om-P-1C</t>
  </si>
  <si>
    <t>360 cam Axis with 6MP sensor and support for Forensic WDR, Lightfinder and OptimizedIR illumination. Vandal-resistant casing in flat design.</t>
  </si>
  <si>
    <t>SIP-VP-T49G</t>
  </si>
  <si>
    <t>Yealink</t>
  </si>
  <si>
    <t>(Video) Intercom</t>
  </si>
  <si>
    <t>01241-001</t>
  </si>
  <si>
    <t>Ultra-compact, varifocal, D/N mini dome with built-in IR illumination and dust- and vandal-resistant casing for easy indoor mounting on wall or ceiling. 3-6 mm lens with remote zoom and focus simplifying the installation.</t>
  </si>
  <si>
    <t>T94T02D</t>
  </si>
  <si>
    <t>Outdoor pendant kit for AXIS M30-PLVE Series.</t>
  </si>
  <si>
    <t>T91B67</t>
  </si>
  <si>
    <t>Outdoor-ready, powder-coated aluminum pole mount with 1.5" NPS thread for fixed dome pendant kits.</t>
  </si>
  <si>
    <t>MD50FG</t>
  </si>
  <si>
    <t>MDK190</t>
  </si>
  <si>
    <t>AP7803</t>
  </si>
  <si>
    <t>AP7003</t>
  </si>
  <si>
    <t>AP7021</t>
  </si>
  <si>
    <t>Batteria 7Ah (per fornire un'autonomia di almeno 4hh come da specifiche richieste)</t>
  </si>
  <si>
    <t xml:space="preserve">Protector 80F for internal reader </t>
  </si>
  <si>
    <t>UHF ISO Card standard bianca</t>
  </si>
  <si>
    <t>TOTALE MDO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</si>
</sst>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00_-"/>
    <numFmt numFmtId="165" formatCode="_([$€-2]\ * #,##0.00_);_([$€-2]\ * \(#,##0.00\);_([$€-2]\ * &quot;-&quot;??_);_(@_)"/>
    <numFmt numFmtId="166" formatCode="[$CZK]\ #,##0.00"/>
    <numFmt numFmtId="167" formatCode="_-* #,##0.00\ [$€-407]_-;\-* #,##0.00\ [$€-407]_-;_-* &quot;-&quot;??\ [$€-407]_-;_-@_-"/>
    <numFmt numFmtId="168" formatCode="&quot;€&quot;\ #,##0.00"/>
    <numFmt numFmtId="169" formatCode="[$PLN]\ #,##0.00"/>
  </numFmts>
  <fonts count="19" x14ac:knownFonts="1">
    <font>
      <sz val="10"/>
      <name val="Arial"/>
    </font>
    <font>
      <sz val="12"/>
      <name val="Times New Roman"/>
      <family val="1"/>
    </font>
    <font>
      <b/>
      <sz val="12"/>
      <name val="Arial"/>
      <family val="2"/>
    </font>
    <font>
      <b/>
      <sz val="14"/>
      <name val="Arial"/>
      <family val="2"/>
    </font>
    <font>
      <sz val="10"/>
      <name val="Arial"/>
      <family val="2"/>
    </font>
    <font>
      <sz val="8"/>
      <name val="Arial"/>
      <family val="2"/>
    </font>
    <font>
      <b/>
      <sz val="8"/>
      <name val="Arial"/>
      <family val="2"/>
    </font>
    <font>
      <b/>
      <sz val="10"/>
      <name val="Arial"/>
      <family val="2"/>
    </font>
    <font>
      <sz val="8"/>
      <name val="Arial"/>
      <family val="2"/>
    </font>
    <font>
      <sz val="8"/>
      <color indexed="8"/>
      <name val="Arial"/>
      <family val="2"/>
    </font>
    <font>
      <b/>
      <sz val="8"/>
      <color indexed="8"/>
      <name val="Arial"/>
      <family val="2"/>
    </font>
    <font>
      <sz val="8"/>
      <name val="Arial"/>
      <family val="2"/>
    </font>
    <font>
      <b/>
      <sz val="8"/>
      <color theme="7" tint="0.59999389629810485"/>
      <name val="Arial"/>
      <family val="2"/>
    </font>
    <font>
      <b/>
      <sz val="8"/>
      <color indexed="10"/>
      <name val="Arial"/>
      <family val="2"/>
    </font>
    <font>
      <sz val="8"/>
      <color rgb="FFFF0000"/>
      <name val="Arial"/>
      <family val="2"/>
    </font>
    <font>
      <b/>
      <sz val="8"/>
      <color rgb="FFFF0000"/>
      <name val="Arial"/>
      <family val="2"/>
    </font>
    <font>
      <b/>
      <strike/>
      <sz val="8"/>
      <name val="Arial"/>
      <family val="2"/>
    </font>
    <font>
      <sz val="8"/>
      <color theme="0"/>
      <name val="Arial"/>
      <family val="2"/>
    </font>
    <font>
      <b/>
      <sz val="8"/>
      <color theme="0"/>
      <name val="Arial"/>
      <family val="2"/>
    </font>
  </fonts>
  <fills count="12">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indexed="5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indexed="50"/>
        <bgColor indexed="51"/>
      </patternFill>
    </fill>
    <fill>
      <patternFill patternType="solid">
        <fgColor theme="0" tint="-4.9989318521683403E-2"/>
        <bgColor indexed="64"/>
      </patternFill>
    </fill>
    <fill>
      <patternFill patternType="solid">
        <fgColor rgb="FFFF0000"/>
        <bgColor indexed="51"/>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8"/>
      </right>
      <top/>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top/>
      <bottom/>
      <diagonal/>
    </border>
  </borders>
  <cellStyleXfs count="2">
    <xf numFmtId="0" fontId="0" fillId="0" borderId="0"/>
    <xf numFmtId="0" fontId="4" fillId="0" borderId="0"/>
  </cellStyleXfs>
  <cellXfs count="227">
    <xf numFmtId="0" fontId="0" fillId="0" borderId="0" xfId="0"/>
    <xf numFmtId="0" fontId="5" fillId="0" borderId="0" xfId="0" applyFont="1" applyAlignment="1">
      <alignment horizontal="center"/>
    </xf>
    <xf numFmtId="164" fontId="0" fillId="0" borderId="0" xfId="0" applyNumberFormat="1"/>
    <xf numFmtId="164" fontId="0" fillId="0" borderId="0" xfId="0" applyNumberFormat="1" applyBorder="1"/>
    <xf numFmtId="0" fontId="0" fillId="0" borderId="0" xfId="0" applyFill="1" applyBorder="1"/>
    <xf numFmtId="165" fontId="5" fillId="0" borderId="0" xfId="0" applyNumberFormat="1" applyFont="1"/>
    <xf numFmtId="0" fontId="6" fillId="0" borderId="0" xfId="0" applyFont="1" applyFill="1"/>
    <xf numFmtId="165" fontId="5" fillId="0" borderId="0" xfId="0" applyNumberFormat="1" applyFont="1" applyFill="1"/>
    <xf numFmtId="0" fontId="0" fillId="0" borderId="0" xfId="0" applyProtection="1"/>
    <xf numFmtId="0" fontId="2" fillId="0" borderId="0" xfId="0" applyFont="1" applyProtection="1"/>
    <xf numFmtId="0" fontId="3" fillId="0" borderId="0" xfId="0" applyFont="1" applyProtection="1"/>
    <xf numFmtId="0" fontId="5" fillId="0" borderId="0" xfId="0" applyFont="1" applyAlignment="1" applyProtection="1">
      <alignment horizontal="center"/>
    </xf>
    <xf numFmtId="0" fontId="4" fillId="0" borderId="0" xfId="0" applyFont="1" applyAlignment="1" applyProtection="1">
      <alignment horizontal="center"/>
    </xf>
    <xf numFmtId="0" fontId="6" fillId="0" borderId="0" xfId="0" applyFont="1" applyFill="1" applyProtection="1"/>
    <xf numFmtId="165" fontId="5" fillId="0" borderId="0" xfId="0" applyNumberFormat="1" applyFont="1" applyFill="1" applyProtection="1"/>
    <xf numFmtId="0" fontId="7" fillId="0" borderId="0" xfId="0" applyFont="1" applyProtection="1"/>
    <xf numFmtId="0" fontId="7" fillId="0" borderId="0" xfId="0" applyFont="1" applyAlignment="1" applyProtection="1">
      <alignment horizontal="left"/>
    </xf>
    <xf numFmtId="0" fontId="7" fillId="0" borderId="0" xfId="0" applyFont="1" applyAlignment="1" applyProtection="1">
      <alignment horizontal="center"/>
    </xf>
    <xf numFmtId="0" fontId="7" fillId="2" borderId="1" xfId="0" applyFont="1" applyFill="1" applyBorder="1" applyAlignment="1" applyProtection="1">
      <alignment horizontal="left"/>
    </xf>
    <xf numFmtId="0" fontId="5" fillId="0" borderId="0" xfId="0" applyFont="1" applyFill="1"/>
    <xf numFmtId="0" fontId="8" fillId="0" borderId="0" xfId="0" applyFont="1" applyFill="1"/>
    <xf numFmtId="2" fontId="0" fillId="0" borderId="0" xfId="0" applyNumberFormat="1"/>
    <xf numFmtId="166" fontId="0" fillId="0" borderId="0" xfId="0" applyNumberFormat="1"/>
    <xf numFmtId="166" fontId="0" fillId="0" borderId="0" xfId="0" applyNumberFormat="1" applyProtection="1"/>
    <xf numFmtId="166" fontId="6" fillId="0" borderId="0" xfId="0" applyNumberFormat="1" applyFont="1" applyAlignment="1" applyProtection="1">
      <alignment horizontal="right"/>
    </xf>
    <xf numFmtId="0" fontId="7" fillId="3" borderId="1" xfId="0" applyFont="1" applyFill="1" applyBorder="1" applyAlignment="1" applyProtection="1">
      <alignment horizontal="left"/>
    </xf>
    <xf numFmtId="0" fontId="7" fillId="3" borderId="0" xfId="0" applyFont="1" applyFill="1" applyAlignment="1" applyProtection="1">
      <alignment horizontal="left"/>
    </xf>
    <xf numFmtId="0" fontId="0" fillId="3" borderId="3" xfId="0" applyFill="1" applyBorder="1" applyAlignment="1" applyProtection="1">
      <alignment horizontal="center"/>
    </xf>
    <xf numFmtId="0" fontId="0" fillId="0" borderId="4" xfId="0" applyBorder="1" applyProtection="1"/>
    <xf numFmtId="0" fontId="3" fillId="0" borderId="4" xfId="0" applyFont="1" applyBorder="1" applyAlignment="1" applyProtection="1">
      <alignment horizontal="center"/>
    </xf>
    <xf numFmtId="0" fontId="7" fillId="0" borderId="4" xfId="0" applyFont="1" applyBorder="1" applyAlignment="1" applyProtection="1">
      <alignment horizontal="center"/>
    </xf>
    <xf numFmtId="0" fontId="7" fillId="0" borderId="5" xfId="0" applyFont="1" applyBorder="1" applyAlignment="1" applyProtection="1">
      <alignment horizontal="center"/>
    </xf>
    <xf numFmtId="4" fontId="5" fillId="4" borderId="4" xfId="0" applyNumberFormat="1" applyFont="1" applyFill="1" applyBorder="1" applyProtection="1">
      <protection locked="0"/>
    </xf>
    <xf numFmtId="0" fontId="4" fillId="0" borderId="0" xfId="0" applyFont="1" applyProtection="1"/>
    <xf numFmtId="0" fontId="7" fillId="0" borderId="0" xfId="0" applyFont="1" applyFill="1" applyAlignment="1" applyProtection="1">
      <alignment horizontal="left"/>
    </xf>
    <xf numFmtId="0" fontId="4" fillId="3" borderId="0" xfId="0" applyFont="1" applyFill="1" applyProtection="1"/>
    <xf numFmtId="0" fontId="0" fillId="3" borderId="0" xfId="0" applyFill="1" applyProtection="1"/>
    <xf numFmtId="0" fontId="4" fillId="0" borderId="0" xfId="0" applyFont="1" applyFill="1" applyProtection="1"/>
    <xf numFmtId="0" fontId="0" fillId="0" borderId="0" xfId="0" applyFill="1" applyProtection="1"/>
    <xf numFmtId="0" fontId="4" fillId="2" borderId="6" xfId="0" applyFont="1" applyFill="1" applyBorder="1" applyProtection="1"/>
    <xf numFmtId="0" fontId="0" fillId="2" borderId="6" xfId="0" applyFill="1" applyBorder="1" applyProtection="1"/>
    <xf numFmtId="0" fontId="4" fillId="3" borderId="6" xfId="0" applyFont="1" applyFill="1" applyBorder="1" applyProtection="1"/>
    <xf numFmtId="0" fontId="0" fillId="3" borderId="6" xfId="0" applyFill="1" applyBorder="1" applyProtection="1"/>
    <xf numFmtId="2" fontId="0" fillId="0" borderId="0" xfId="0" applyNumberFormat="1" applyProtection="1"/>
    <xf numFmtId="0" fontId="6" fillId="0" borderId="7" xfId="0" applyFont="1" applyBorder="1" applyAlignment="1" applyProtection="1">
      <alignment horizontal="center" wrapText="1"/>
    </xf>
    <xf numFmtId="0" fontId="6" fillId="0" borderId="7" xfId="0" applyFont="1" applyBorder="1" applyAlignment="1" applyProtection="1">
      <alignment horizontal="center"/>
    </xf>
    <xf numFmtId="166" fontId="6" fillId="0" borderId="2" xfId="0" applyNumberFormat="1" applyFont="1" applyBorder="1" applyAlignment="1" applyProtection="1">
      <alignment horizontal="center" wrapText="1"/>
    </xf>
    <xf numFmtId="2" fontId="6" fillId="0" borderId="7" xfId="0" applyNumberFormat="1" applyFont="1" applyFill="1" applyBorder="1" applyAlignment="1" applyProtection="1">
      <alignment wrapText="1"/>
    </xf>
    <xf numFmtId="0" fontId="6" fillId="0" borderId="4" xfId="0" applyFont="1" applyFill="1" applyBorder="1" applyAlignment="1" applyProtection="1">
      <alignment horizontal="left"/>
    </xf>
    <xf numFmtId="0" fontId="6" fillId="0" borderId="8" xfId="0" applyFont="1" applyBorder="1" applyAlignment="1" applyProtection="1">
      <alignment horizontal="center"/>
    </xf>
    <xf numFmtId="0" fontId="6" fillId="0" borderId="8" xfId="0" applyFont="1" applyFill="1" applyBorder="1" applyAlignment="1" applyProtection="1">
      <alignment horizontal="center"/>
    </xf>
    <xf numFmtId="0" fontId="5" fillId="0" borderId="8" xfId="0" applyFont="1" applyBorder="1" applyProtection="1"/>
    <xf numFmtId="4" fontId="5" fillId="0" borderId="8" xfId="0" applyNumberFormat="1" applyFont="1" applyBorder="1" applyProtection="1"/>
    <xf numFmtId="0" fontId="5" fillId="0" borderId="3" xfId="0" applyFont="1" applyBorder="1" applyProtection="1"/>
    <xf numFmtId="4" fontId="5" fillId="0" borderId="3" xfId="0" applyNumberFormat="1" applyFont="1" applyBorder="1" applyProtection="1"/>
    <xf numFmtId="0" fontId="5" fillId="0" borderId="4" xfId="0" applyFont="1" applyBorder="1" applyProtection="1"/>
    <xf numFmtId="4" fontId="5" fillId="0" borderId="4" xfId="0" applyNumberFormat="1" applyFont="1" applyBorder="1" applyProtection="1"/>
    <xf numFmtId="0" fontId="5" fillId="0" borderId="8" xfId="0" applyFont="1" applyBorder="1" applyAlignment="1" applyProtection="1">
      <alignment wrapText="1"/>
    </xf>
    <xf numFmtId="0" fontId="6" fillId="0" borderId="4" xfId="0" applyFont="1" applyBorder="1" applyAlignment="1" applyProtection="1">
      <alignment horizontal="left"/>
    </xf>
    <xf numFmtId="2" fontId="5" fillId="0" borderId="4" xfId="0" applyNumberFormat="1" applyFont="1" applyFill="1" applyBorder="1" applyProtection="1"/>
    <xf numFmtId="0" fontId="6" fillId="3" borderId="8" xfId="0" applyFont="1" applyFill="1" applyBorder="1" applyAlignment="1" applyProtection="1">
      <alignment horizontal="center"/>
    </xf>
    <xf numFmtId="166" fontId="6" fillId="0" borderId="8" xfId="0" applyNumberFormat="1" applyFont="1" applyBorder="1" applyProtection="1"/>
    <xf numFmtId="0" fontId="0" fillId="0" borderId="0" xfId="0" applyFill="1" applyBorder="1" applyProtection="1"/>
    <xf numFmtId="0" fontId="6" fillId="5" borderId="4" xfId="0" applyFont="1" applyFill="1" applyBorder="1" applyAlignment="1" applyProtection="1">
      <alignment horizontal="center"/>
    </xf>
    <xf numFmtId="0" fontId="6" fillId="5" borderId="8" xfId="0" applyFont="1" applyFill="1" applyBorder="1" applyAlignment="1" applyProtection="1">
      <alignment horizontal="center"/>
    </xf>
    <xf numFmtId="0" fontId="6" fillId="5" borderId="8" xfId="0" applyFont="1" applyFill="1" applyBorder="1" applyAlignment="1" applyProtection="1">
      <alignment horizontal="right"/>
    </xf>
    <xf numFmtId="166" fontId="9" fillId="5" borderId="9" xfId="0" applyNumberFormat="1" applyFont="1" applyFill="1" applyBorder="1" applyAlignment="1" applyProtection="1">
      <alignment horizontal="right"/>
    </xf>
    <xf numFmtId="166" fontId="10" fillId="5" borderId="9" xfId="0" applyNumberFormat="1" applyFont="1" applyFill="1" applyBorder="1" applyAlignment="1" applyProtection="1">
      <alignment horizontal="right"/>
    </xf>
    <xf numFmtId="2" fontId="9" fillId="5" borderId="5" xfId="0" applyNumberFormat="1" applyFont="1" applyFill="1" applyBorder="1" applyProtection="1"/>
    <xf numFmtId="0" fontId="9" fillId="5" borderId="5" xfId="0" applyFont="1" applyFill="1" applyBorder="1" applyProtection="1"/>
    <xf numFmtId="4" fontId="9" fillId="5" borderId="7" xfId="0" applyNumberFormat="1" applyFont="1" applyFill="1" applyBorder="1" applyProtection="1"/>
    <xf numFmtId="0" fontId="6" fillId="0" borderId="0" xfId="0" applyFont="1" applyFill="1" applyBorder="1" applyAlignment="1" applyProtection="1">
      <alignment horizontal="center"/>
    </xf>
    <xf numFmtId="0" fontId="6" fillId="0" borderId="0" xfId="0" applyFont="1" applyFill="1" applyBorder="1" applyAlignment="1" applyProtection="1">
      <alignment horizontal="right"/>
    </xf>
    <xf numFmtId="166" fontId="5" fillId="0" borderId="10" xfId="0" applyNumberFormat="1" applyFont="1" applyFill="1" applyBorder="1" applyAlignment="1" applyProtection="1">
      <alignment horizontal="right"/>
    </xf>
    <xf numFmtId="166" fontId="6" fillId="0" borderId="10" xfId="0" applyNumberFormat="1" applyFont="1" applyFill="1" applyBorder="1" applyAlignment="1" applyProtection="1">
      <alignment horizontal="right"/>
    </xf>
    <xf numFmtId="2" fontId="5" fillId="0" borderId="0" xfId="0" applyNumberFormat="1" applyFont="1" applyFill="1" applyProtection="1"/>
    <xf numFmtId="0" fontId="5" fillId="0" borderId="0" xfId="0" applyFont="1" applyProtection="1"/>
    <xf numFmtId="0" fontId="6" fillId="0" borderId="7" xfId="0" applyFont="1" applyFill="1" applyBorder="1" applyAlignment="1" applyProtection="1">
      <alignment horizontal="center" wrapText="1"/>
    </xf>
    <xf numFmtId="0" fontId="6" fillId="0" borderId="8" xfId="0" applyFont="1" applyFill="1" applyBorder="1" applyAlignment="1" applyProtection="1">
      <alignment horizontal="right"/>
    </xf>
    <xf numFmtId="4" fontId="6" fillId="0" borderId="8" xfId="0" applyNumberFormat="1" applyFont="1" applyBorder="1" applyProtection="1"/>
    <xf numFmtId="0" fontId="6" fillId="5" borderId="5" xfId="0" applyFont="1" applyFill="1" applyBorder="1" applyAlignment="1" applyProtection="1">
      <alignment horizontal="center"/>
    </xf>
    <xf numFmtId="0" fontId="6" fillId="5" borderId="9" xfId="0" applyFont="1" applyFill="1" applyBorder="1" applyAlignment="1" applyProtection="1">
      <alignment horizontal="center"/>
    </xf>
    <xf numFmtId="0" fontId="6" fillId="5" borderId="9" xfId="0" applyFont="1" applyFill="1" applyBorder="1" applyAlignment="1" applyProtection="1">
      <alignment horizontal="right"/>
    </xf>
    <xf numFmtId="4" fontId="6" fillId="5" borderId="9" xfId="0" applyNumberFormat="1" applyFont="1" applyFill="1" applyBorder="1" applyAlignment="1" applyProtection="1">
      <alignment horizontal="right"/>
    </xf>
    <xf numFmtId="0" fontId="1" fillId="0" borderId="0" xfId="0" applyFont="1" applyProtection="1"/>
    <xf numFmtId="4" fontId="5" fillId="4" borderId="8" xfId="0" applyNumberFormat="1" applyFont="1" applyFill="1" applyBorder="1" applyProtection="1">
      <protection locked="0"/>
    </xf>
    <xf numFmtId="2" fontId="5" fillId="4" borderId="3" xfId="0" applyNumberFormat="1" applyFont="1" applyFill="1" applyBorder="1" applyProtection="1">
      <protection locked="0"/>
    </xf>
    <xf numFmtId="2" fontId="5" fillId="4" borderId="4" xfId="0" applyNumberFormat="1" applyFont="1" applyFill="1" applyBorder="1" applyProtection="1">
      <protection locked="0"/>
    </xf>
    <xf numFmtId="0" fontId="6" fillId="0" borderId="11" xfId="0" applyFont="1" applyFill="1" applyBorder="1" applyAlignment="1" applyProtection="1">
      <alignment horizontal="left"/>
    </xf>
    <xf numFmtId="0" fontId="6" fillId="0" borderId="11" xfId="0" applyFont="1" applyBorder="1" applyAlignment="1" applyProtection="1">
      <alignment horizontal="center"/>
    </xf>
    <xf numFmtId="0" fontId="6" fillId="0" borderId="11" xfId="0" applyFont="1" applyFill="1" applyBorder="1" applyAlignment="1" applyProtection="1">
      <alignment horizontal="center"/>
    </xf>
    <xf numFmtId="0" fontId="6" fillId="0" borderId="11" xfId="0" applyFont="1" applyBorder="1" applyAlignment="1" applyProtection="1">
      <alignment horizontal="left"/>
    </xf>
    <xf numFmtId="0" fontId="6" fillId="0" borderId="4" xfId="0" applyFont="1" applyFill="1" applyBorder="1" applyAlignment="1" applyProtection="1">
      <alignment horizontal="center"/>
    </xf>
    <xf numFmtId="4" fontId="5" fillId="0" borderId="4" xfId="0" applyNumberFormat="1" applyFont="1" applyFill="1" applyBorder="1" applyProtection="1"/>
    <xf numFmtId="4" fontId="5" fillId="0" borderId="4" xfId="0" applyNumberFormat="1" applyFont="1" applyFill="1" applyBorder="1" applyAlignment="1" applyProtection="1">
      <alignment horizontal="right"/>
    </xf>
    <xf numFmtId="4" fontId="6" fillId="0" borderId="8" xfId="0" applyNumberFormat="1" applyFont="1" applyBorder="1" applyAlignment="1" applyProtection="1">
      <alignment horizontal="right"/>
    </xf>
    <xf numFmtId="4" fontId="6" fillId="0" borderId="4" xfId="0" applyNumberFormat="1" applyFont="1" applyBorder="1" applyAlignment="1" applyProtection="1">
      <alignment horizontal="right"/>
    </xf>
    <xf numFmtId="0" fontId="5" fillId="0" borderId="5" xfId="0" applyFont="1" applyBorder="1" applyProtection="1"/>
    <xf numFmtId="0" fontId="6" fillId="5" borderId="12" xfId="0" applyFont="1" applyFill="1" applyBorder="1" applyAlignment="1" applyProtection="1">
      <alignment horizontal="center"/>
    </xf>
    <xf numFmtId="0" fontId="6" fillId="5" borderId="5" xfId="0" applyFont="1" applyFill="1" applyBorder="1" applyAlignment="1" applyProtection="1">
      <alignment horizontal="right"/>
    </xf>
    <xf numFmtId="0" fontId="6" fillId="0" borderId="10" xfId="0" applyFont="1" applyFill="1" applyBorder="1" applyAlignment="1" applyProtection="1">
      <alignment horizontal="center"/>
    </xf>
    <xf numFmtId="0" fontId="6" fillId="0" borderId="10" xfId="0" applyFont="1" applyFill="1" applyBorder="1" applyAlignment="1" applyProtection="1">
      <alignment horizontal="right"/>
    </xf>
    <xf numFmtId="4" fontId="5" fillId="0" borderId="10" xfId="0" applyNumberFormat="1" applyFont="1" applyFill="1" applyBorder="1" applyAlignment="1" applyProtection="1">
      <alignment horizontal="center"/>
    </xf>
    <xf numFmtId="4" fontId="6" fillId="0" borderId="10" xfId="0" applyNumberFormat="1" applyFont="1" applyFill="1" applyBorder="1" applyAlignment="1" applyProtection="1">
      <alignment horizontal="center"/>
    </xf>
    <xf numFmtId="4" fontId="5" fillId="0" borderId="0" xfId="0" applyNumberFormat="1" applyFont="1" applyFill="1" applyBorder="1" applyAlignment="1" applyProtection="1">
      <alignment horizontal="right"/>
    </xf>
    <xf numFmtId="0" fontId="5" fillId="0" borderId="0" xfId="0" applyFont="1" applyFill="1" applyBorder="1" applyProtection="1"/>
    <xf numFmtId="0" fontId="5" fillId="0" borderId="4" xfId="0" applyFont="1" applyFill="1" applyBorder="1" applyProtection="1"/>
    <xf numFmtId="0" fontId="5" fillId="0" borderId="11" xfId="0" applyFont="1" applyFill="1" applyBorder="1" applyProtection="1"/>
    <xf numFmtId="4" fontId="5" fillId="0" borderId="8" xfId="0" applyNumberFormat="1" applyFont="1" applyFill="1" applyBorder="1" applyProtection="1"/>
    <xf numFmtId="0" fontId="6" fillId="5" borderId="10" xfId="0" applyFont="1" applyFill="1" applyBorder="1" applyAlignment="1" applyProtection="1">
      <alignment horizontal="center"/>
    </xf>
    <xf numFmtId="0" fontId="6" fillId="5" borderId="12" xfId="0" applyFont="1" applyFill="1" applyBorder="1" applyAlignment="1" applyProtection="1">
      <alignment horizontal="right"/>
    </xf>
    <xf numFmtId="166" fontId="9" fillId="5" borderId="5" xfId="0" applyNumberFormat="1" applyFont="1" applyFill="1" applyBorder="1" applyAlignment="1" applyProtection="1">
      <alignment horizontal="right"/>
    </xf>
    <xf numFmtId="166" fontId="8" fillId="0" borderId="0" xfId="0" applyNumberFormat="1" applyFont="1" applyFill="1" applyProtection="1"/>
    <xf numFmtId="0" fontId="5" fillId="0" borderId="4" xfId="0" applyFont="1" applyBorder="1" applyAlignment="1" applyProtection="1">
      <alignment wrapText="1"/>
    </xf>
    <xf numFmtId="166" fontId="0" fillId="0" borderId="0" xfId="0" applyNumberFormat="1" applyFill="1" applyProtection="1"/>
    <xf numFmtId="166" fontId="6" fillId="0" borderId="0" xfId="0" applyNumberFormat="1" applyFont="1" applyFill="1" applyAlignment="1" applyProtection="1">
      <alignment horizontal="center"/>
    </xf>
    <xf numFmtId="0" fontId="4" fillId="0" borderId="0" xfId="0" applyFont="1" applyProtection="1">
      <protection locked="0"/>
    </xf>
    <xf numFmtId="0" fontId="0" fillId="0" borderId="0" xfId="0" applyProtection="1">
      <protection locked="0"/>
    </xf>
    <xf numFmtId="4" fontId="5" fillId="5" borderId="5" xfId="0" applyNumberFormat="1" applyFont="1" applyFill="1" applyBorder="1" applyProtection="1"/>
    <xf numFmtId="167" fontId="6" fillId="0" borderId="8" xfId="0" applyNumberFormat="1" applyFont="1" applyBorder="1" applyProtection="1"/>
    <xf numFmtId="4" fontId="5" fillId="0" borderId="0" xfId="0" applyNumberFormat="1" applyFont="1" applyBorder="1" applyProtection="1"/>
    <xf numFmtId="2" fontId="6" fillId="0" borderId="3" xfId="0" applyNumberFormat="1" applyFont="1" applyFill="1" applyBorder="1" applyAlignment="1" applyProtection="1">
      <alignment wrapText="1"/>
    </xf>
    <xf numFmtId="4" fontId="6" fillId="0" borderId="0" xfId="0" applyNumberFormat="1" applyFont="1" applyBorder="1" applyProtection="1"/>
    <xf numFmtId="4" fontId="6" fillId="5" borderId="10" xfId="0" applyNumberFormat="1" applyFont="1" applyFill="1" applyBorder="1" applyAlignment="1" applyProtection="1">
      <alignment horizontal="right"/>
    </xf>
    <xf numFmtId="4" fontId="6" fillId="5" borderId="5" xfId="0" applyNumberFormat="1" applyFont="1" applyFill="1" applyBorder="1" applyAlignment="1" applyProtection="1">
      <alignment horizontal="right"/>
    </xf>
    <xf numFmtId="4" fontId="6" fillId="5" borderId="2" xfId="0" applyNumberFormat="1" applyFont="1" applyFill="1" applyBorder="1" applyAlignment="1" applyProtection="1">
      <alignment horizontal="right"/>
    </xf>
    <xf numFmtId="49" fontId="6" fillId="0" borderId="4" xfId="0" applyNumberFormat="1" applyFont="1" applyBorder="1" applyAlignment="1" applyProtection="1">
      <alignment horizontal="left"/>
    </xf>
    <xf numFmtId="0" fontId="6" fillId="6" borderId="8" xfId="0" applyFont="1" applyFill="1" applyBorder="1" applyAlignment="1" applyProtection="1">
      <alignment horizontal="center"/>
      <protection locked="0"/>
    </xf>
    <xf numFmtId="0" fontId="6" fillId="6" borderId="11" xfId="0" applyFont="1" applyFill="1" applyBorder="1" applyAlignment="1" applyProtection="1">
      <alignment horizontal="center"/>
      <protection locked="0"/>
    </xf>
    <xf numFmtId="168" fontId="0" fillId="0" borderId="0" xfId="0" applyNumberFormat="1" applyProtection="1"/>
    <xf numFmtId="168" fontId="6" fillId="0" borderId="0" xfId="0" applyNumberFormat="1" applyFont="1" applyAlignment="1" applyProtection="1">
      <alignment horizontal="right"/>
    </xf>
    <xf numFmtId="168" fontId="6" fillId="0" borderId="0" xfId="0" applyNumberFormat="1" applyFont="1" applyAlignment="1" applyProtection="1">
      <alignment horizontal="center"/>
    </xf>
    <xf numFmtId="168" fontId="0" fillId="0" borderId="0" xfId="0" applyNumberFormat="1"/>
    <xf numFmtId="0" fontId="6" fillId="7" borderId="8" xfId="0" applyFont="1" applyFill="1" applyBorder="1" applyAlignment="1" applyProtection="1">
      <alignment horizontal="left"/>
    </xf>
    <xf numFmtId="0" fontId="0" fillId="7" borderId="0" xfId="0" applyFill="1"/>
    <xf numFmtId="0" fontId="5" fillId="0" borderId="3" xfId="0" applyFont="1" applyBorder="1"/>
    <xf numFmtId="0" fontId="5" fillId="0" borderId="4" xfId="0" applyFont="1" applyBorder="1"/>
    <xf numFmtId="0" fontId="6" fillId="0" borderId="0" xfId="0" applyFont="1" applyBorder="1" applyAlignment="1" applyProtection="1">
      <alignment horizontal="center"/>
    </xf>
    <xf numFmtId="169" fontId="7" fillId="0" borderId="0" xfId="0" applyNumberFormat="1" applyFont="1" applyAlignment="1" applyProtection="1">
      <alignment horizontal="center"/>
    </xf>
    <xf numFmtId="169" fontId="7" fillId="0" borderId="0" xfId="0" applyNumberFormat="1" applyFont="1" applyFill="1" applyAlignment="1" applyProtection="1">
      <alignment horizontal="center"/>
    </xf>
    <xf numFmtId="169" fontId="0" fillId="0" borderId="0" xfId="0" applyNumberFormat="1" applyAlignment="1" applyProtection="1">
      <alignment horizontal="center"/>
    </xf>
    <xf numFmtId="169" fontId="7" fillId="4" borderId="2" xfId="0" applyNumberFormat="1" applyFont="1" applyFill="1" applyBorder="1" applyAlignment="1" applyProtection="1">
      <alignment horizontal="center"/>
      <protection locked="0"/>
    </xf>
    <xf numFmtId="169" fontId="0" fillId="0" borderId="0" xfId="0" applyNumberFormat="1" applyProtection="1"/>
    <xf numFmtId="169" fontId="4" fillId="0" borderId="0" xfId="0" applyNumberFormat="1" applyFont="1" applyProtection="1"/>
    <xf numFmtId="169" fontId="0" fillId="0" borderId="3" xfId="0" applyNumberFormat="1" applyBorder="1" applyProtection="1">
      <protection locked="0"/>
    </xf>
    <xf numFmtId="169" fontId="0" fillId="0" borderId="4" xfId="0" applyNumberFormat="1" applyBorder="1" applyProtection="1">
      <protection locked="0"/>
    </xf>
    <xf numFmtId="169" fontId="0" fillId="0" borderId="5" xfId="0" applyNumberFormat="1" applyBorder="1" applyProtection="1">
      <protection locked="0"/>
    </xf>
    <xf numFmtId="168" fontId="7" fillId="0" borderId="0" xfId="0" applyNumberFormat="1" applyFont="1" applyAlignment="1" applyProtection="1">
      <alignment horizontal="center"/>
    </xf>
    <xf numFmtId="168" fontId="7" fillId="3" borderId="0" xfId="0" applyNumberFormat="1" applyFont="1" applyFill="1" applyAlignment="1" applyProtection="1">
      <alignment horizontal="center"/>
    </xf>
    <xf numFmtId="168" fontId="7" fillId="2" borderId="2" xfId="0" applyNumberFormat="1" applyFont="1" applyFill="1" applyBorder="1" applyAlignment="1" applyProtection="1">
      <alignment horizontal="center"/>
    </xf>
    <xf numFmtId="0" fontId="0" fillId="8" borderId="0" xfId="0" applyFill="1"/>
    <xf numFmtId="165" fontId="6" fillId="8" borderId="0" xfId="0" applyNumberFormat="1" applyFont="1" applyFill="1" applyProtection="1"/>
    <xf numFmtId="0" fontId="7" fillId="8" borderId="0" xfId="0" applyFont="1" applyFill="1" applyProtection="1"/>
    <xf numFmtId="0" fontId="7" fillId="8" borderId="0" xfId="0" applyFont="1" applyFill="1"/>
    <xf numFmtId="165" fontId="6" fillId="8" borderId="0" xfId="0" applyNumberFormat="1" applyFont="1" applyFill="1"/>
    <xf numFmtId="0" fontId="4" fillId="0" borderId="0" xfId="0" applyFont="1"/>
    <xf numFmtId="0" fontId="6" fillId="0" borderId="0" xfId="0" applyFont="1" applyAlignment="1" applyProtection="1">
      <alignment horizontal="center"/>
    </xf>
    <xf numFmtId="166" fontId="6" fillId="0" borderId="0" xfId="0" applyNumberFormat="1" applyFont="1" applyAlignment="1" applyProtection="1">
      <alignment horizontal="center"/>
    </xf>
    <xf numFmtId="2" fontId="6" fillId="0" borderId="0" xfId="0" applyNumberFormat="1" applyFont="1" applyAlignment="1" applyProtection="1">
      <alignment horizontal="center" vertical="center"/>
    </xf>
    <xf numFmtId="2" fontId="4" fillId="0" borderId="0" xfId="0" applyNumberFormat="1" applyFont="1" applyAlignment="1" applyProtection="1">
      <alignment horizontal="center" vertical="center"/>
    </xf>
    <xf numFmtId="2" fontId="5" fillId="0" borderId="0" xfId="0" applyNumberFormat="1" applyFont="1" applyAlignment="1" applyProtection="1">
      <alignment horizontal="center" vertical="center"/>
    </xf>
    <xf numFmtId="0" fontId="5" fillId="0" borderId="0" xfId="0" applyFont="1" applyAlignment="1" applyProtection="1">
      <alignment horizontal="center" vertical="center"/>
    </xf>
    <xf numFmtId="166" fontId="5" fillId="0" borderId="0" xfId="0" applyNumberFormat="1" applyFont="1" applyAlignment="1" applyProtection="1">
      <alignment horizontal="center" vertical="center"/>
    </xf>
    <xf numFmtId="166" fontId="4" fillId="0" borderId="0" xfId="0" applyNumberFormat="1" applyFont="1" applyAlignment="1" applyProtection="1">
      <alignment horizontal="center" vertical="center"/>
    </xf>
    <xf numFmtId="0" fontId="7" fillId="8" borderId="0" xfId="0" applyFont="1" applyFill="1" applyBorder="1"/>
    <xf numFmtId="0" fontId="7" fillId="8" borderId="0" xfId="0" applyFont="1" applyFill="1" applyAlignment="1" applyProtection="1">
      <alignment horizontal="left"/>
    </xf>
    <xf numFmtId="166" fontId="0" fillId="8" borderId="0" xfId="0" applyNumberFormat="1" applyFill="1" applyProtection="1"/>
    <xf numFmtId="0" fontId="6" fillId="7" borderId="8" xfId="0" applyFont="1" applyFill="1" applyBorder="1" applyAlignment="1" applyProtection="1">
      <alignment horizontal="center"/>
    </xf>
    <xf numFmtId="0" fontId="6" fillId="7" borderId="8" xfId="0" applyFont="1" applyFill="1" applyBorder="1" applyProtection="1"/>
    <xf numFmtId="0" fontId="6" fillId="9" borderId="16" xfId="0" applyFont="1" applyFill="1" applyBorder="1" applyAlignment="1" applyProtection="1">
      <alignment horizontal="center"/>
      <protection locked="0"/>
    </xf>
    <xf numFmtId="0" fontId="12" fillId="9" borderId="16" xfId="0" applyFont="1" applyFill="1" applyBorder="1" applyAlignment="1" applyProtection="1">
      <alignment horizontal="center"/>
      <protection locked="0"/>
    </xf>
    <xf numFmtId="0" fontId="13" fillId="0" borderId="17" xfId="0" applyFont="1" applyBorder="1" applyAlignment="1">
      <alignment horizontal="left"/>
    </xf>
    <xf numFmtId="0" fontId="13" fillId="0" borderId="16" xfId="0" applyFont="1" applyBorder="1" applyAlignment="1">
      <alignment horizontal="center"/>
    </xf>
    <xf numFmtId="4" fontId="5" fillId="9" borderId="16" xfId="0" applyNumberFormat="1" applyFont="1" applyFill="1" applyBorder="1" applyProtection="1">
      <protection locked="0"/>
    </xf>
    <xf numFmtId="4" fontId="14" fillId="9" borderId="16" xfId="0" applyNumberFormat="1" applyFont="1" applyFill="1" applyBorder="1" applyProtection="1">
      <protection locked="0"/>
    </xf>
    <xf numFmtId="2" fontId="5" fillId="9" borderId="18" xfId="1" applyNumberFormat="1" applyFont="1" applyFill="1" applyBorder="1" applyProtection="1">
      <protection locked="0"/>
    </xf>
    <xf numFmtId="2" fontId="5" fillId="9" borderId="17" xfId="1" applyNumberFormat="1" applyFont="1" applyFill="1" applyBorder="1" applyProtection="1">
      <protection locked="0"/>
    </xf>
    <xf numFmtId="2" fontId="14" fillId="9" borderId="17" xfId="1" applyNumberFormat="1" applyFont="1" applyFill="1" applyBorder="1" applyProtection="1">
      <protection locked="0"/>
    </xf>
    <xf numFmtId="0" fontId="15" fillId="0" borderId="19" xfId="0" applyFont="1" applyBorder="1" applyAlignment="1">
      <alignment horizontal="left"/>
    </xf>
    <xf numFmtId="0" fontId="6" fillId="0" borderId="19" xfId="0" applyFont="1" applyBorder="1" applyAlignment="1">
      <alignment horizontal="center"/>
    </xf>
    <xf numFmtId="0" fontId="6" fillId="9" borderId="19" xfId="0" applyFont="1" applyFill="1" applyBorder="1" applyAlignment="1" applyProtection="1">
      <alignment horizontal="center"/>
      <protection locked="0"/>
    </xf>
    <xf numFmtId="0" fontId="5" fillId="0" borderId="17" xfId="0" applyFont="1" applyBorder="1" applyAlignment="1">
      <alignment wrapText="1"/>
    </xf>
    <xf numFmtId="4" fontId="5" fillId="0" borderId="16" xfId="0" applyNumberFormat="1" applyFont="1" applyBorder="1"/>
    <xf numFmtId="2" fontId="5" fillId="9" borderId="17" xfId="0" applyNumberFormat="1" applyFont="1" applyFill="1" applyBorder="1" applyProtection="1">
      <protection locked="0"/>
    </xf>
    <xf numFmtId="0" fontId="5" fillId="0" borderId="17" xfId="0" applyFont="1" applyBorder="1"/>
    <xf numFmtId="4" fontId="5" fillId="0" borderId="17" xfId="0" applyNumberFormat="1" applyFont="1" applyBorder="1"/>
    <xf numFmtId="0" fontId="5" fillId="10" borderId="4" xfId="0" applyFont="1" applyFill="1" applyBorder="1" applyProtection="1"/>
    <xf numFmtId="0" fontId="14" fillId="0" borderId="17" xfId="0" applyFont="1" applyBorder="1" applyAlignment="1">
      <alignment wrapText="1"/>
    </xf>
    <xf numFmtId="168" fontId="0" fillId="0" borderId="0" xfId="0" applyNumberFormat="1" applyAlignment="1">
      <alignment horizontal="center"/>
    </xf>
    <xf numFmtId="0" fontId="0" fillId="0" borderId="0" xfId="0" applyAlignment="1">
      <alignment horizontal="center"/>
    </xf>
    <xf numFmtId="0" fontId="14" fillId="0" borderId="17" xfId="0" applyFont="1" applyBorder="1"/>
    <xf numFmtId="0" fontId="6" fillId="0" borderId="19" xfId="0" applyFont="1" applyBorder="1" applyAlignment="1">
      <alignment horizontal="left"/>
    </xf>
    <xf numFmtId="0" fontId="6" fillId="0" borderId="17" xfId="0" applyFont="1" applyBorder="1" applyAlignment="1">
      <alignment horizontal="left"/>
    </xf>
    <xf numFmtId="0" fontId="16" fillId="0" borderId="19" xfId="0" applyFont="1" applyBorder="1" applyAlignment="1">
      <alignment horizontal="left"/>
    </xf>
    <xf numFmtId="0" fontId="15" fillId="0" borderId="19" xfId="0" applyFont="1" applyBorder="1" applyAlignment="1">
      <alignment horizontal="center"/>
    </xf>
    <xf numFmtId="0" fontId="6" fillId="0" borderId="16" xfId="0" applyFont="1" applyBorder="1" applyAlignment="1">
      <alignment horizontal="center"/>
    </xf>
    <xf numFmtId="0" fontId="12" fillId="9" borderId="19" xfId="0" applyFont="1" applyFill="1" applyBorder="1" applyAlignment="1" applyProtection="1">
      <alignment horizontal="center"/>
      <protection locked="0"/>
    </xf>
    <xf numFmtId="2" fontId="5" fillId="9" borderId="18" xfId="0" applyNumberFormat="1" applyFont="1" applyFill="1" applyBorder="1" applyProtection="1">
      <protection locked="0"/>
    </xf>
    <xf numFmtId="4" fontId="5" fillId="9" borderId="17" xfId="0" applyNumberFormat="1" applyFont="1" applyFill="1" applyBorder="1" applyProtection="1">
      <protection locked="0"/>
    </xf>
    <xf numFmtId="2" fontId="14" fillId="9" borderId="17" xfId="0" applyNumberFormat="1" applyFont="1" applyFill="1" applyBorder="1" applyProtection="1">
      <protection locked="0"/>
    </xf>
    <xf numFmtId="0" fontId="7" fillId="0" borderId="11" xfId="0" applyFont="1" applyBorder="1" applyAlignment="1" applyProtection="1">
      <alignment horizontal="center"/>
    </xf>
    <xf numFmtId="0" fontId="0" fillId="0" borderId="0" xfId="0" applyBorder="1" applyAlignment="1" applyProtection="1"/>
    <xf numFmtId="0" fontId="0" fillId="0" borderId="8" xfId="0" applyBorder="1" applyAlignment="1" applyProtection="1"/>
    <xf numFmtId="0" fontId="7" fillId="0" borderId="12" xfId="0" applyFont="1" applyBorder="1" applyAlignment="1" applyProtection="1">
      <alignment horizontal="center"/>
      <protection locked="0"/>
    </xf>
    <xf numFmtId="0" fontId="0" fillId="0" borderId="10" xfId="0" applyBorder="1" applyAlignment="1" applyProtection="1">
      <protection locked="0"/>
    </xf>
    <xf numFmtId="0" fontId="0" fillId="0" borderId="9" xfId="0" applyBorder="1" applyAlignment="1" applyProtection="1">
      <protection locked="0"/>
    </xf>
    <xf numFmtId="0" fontId="7" fillId="3" borderId="13" xfId="0" applyFont="1" applyFill="1" applyBorder="1" applyAlignment="1" applyProtection="1">
      <alignment horizontal="center"/>
    </xf>
    <xf numFmtId="0" fontId="0" fillId="0" borderId="14" xfId="0" applyBorder="1" applyAlignment="1" applyProtection="1"/>
    <xf numFmtId="0" fontId="0" fillId="0" borderId="15" xfId="0" applyBorder="1" applyAlignment="1" applyProtection="1"/>
    <xf numFmtId="0" fontId="3" fillId="0" borderId="11" xfId="0" applyFont="1" applyBorder="1" applyAlignment="1" applyProtection="1">
      <alignment horizontal="center"/>
    </xf>
    <xf numFmtId="0" fontId="7" fillId="0" borderId="12" xfId="0" applyFont="1" applyBorder="1" applyAlignment="1" applyProtection="1">
      <alignment horizontal="center"/>
    </xf>
    <xf numFmtId="0" fontId="0" fillId="0" borderId="10" xfId="0" applyBorder="1" applyAlignment="1" applyProtection="1"/>
    <xf numFmtId="0" fontId="0" fillId="0" borderId="9" xfId="0" applyBorder="1" applyAlignment="1" applyProtection="1"/>
    <xf numFmtId="0" fontId="0" fillId="3" borderId="13" xfId="0" applyFill="1" applyBorder="1" applyAlignment="1" applyProtection="1">
      <alignment horizontal="center"/>
    </xf>
    <xf numFmtId="0" fontId="7" fillId="0" borderId="0" xfId="0" applyFont="1" applyBorder="1" applyAlignment="1" applyProtection="1">
      <alignment horizontal="center"/>
    </xf>
    <xf numFmtId="0" fontId="7" fillId="0" borderId="8" xfId="0" applyFont="1" applyBorder="1" applyAlignment="1" applyProtection="1">
      <alignment horizontal="center"/>
    </xf>
    <xf numFmtId="2" fontId="6" fillId="0" borderId="4" xfId="0" applyNumberFormat="1" applyFont="1" applyFill="1" applyBorder="1" applyAlignment="1" applyProtection="1">
      <alignment horizontal="right" wrapText="1"/>
    </xf>
    <xf numFmtId="0" fontId="17" fillId="8" borderId="4" xfId="0" applyFont="1" applyFill="1" applyBorder="1" applyProtection="1"/>
    <xf numFmtId="4" fontId="17" fillId="11" borderId="16" xfId="0" applyNumberFormat="1" applyFont="1" applyFill="1" applyBorder="1" applyProtection="1">
      <protection locked="0"/>
    </xf>
    <xf numFmtId="4" fontId="17" fillId="8" borderId="8" xfId="0" applyNumberFormat="1" applyFont="1" applyFill="1" applyBorder="1" applyProtection="1"/>
    <xf numFmtId="2" fontId="17" fillId="11" borderId="17" xfId="0" applyNumberFormat="1" applyFont="1" applyFill="1" applyBorder="1" applyProtection="1">
      <protection locked="0"/>
    </xf>
    <xf numFmtId="4" fontId="17" fillId="8" borderId="4" xfId="0" applyNumberFormat="1" applyFont="1" applyFill="1" applyBorder="1" applyProtection="1"/>
    <xf numFmtId="0" fontId="18" fillId="8" borderId="19" xfId="0" applyFont="1" applyFill="1" applyBorder="1" applyAlignment="1">
      <alignment horizontal="left"/>
    </xf>
    <xf numFmtId="0" fontId="18" fillId="8" borderId="19" xfId="0" applyFont="1" applyFill="1" applyBorder="1" applyAlignment="1">
      <alignment horizontal="center"/>
    </xf>
    <xf numFmtId="0" fontId="18" fillId="11" borderId="19" xfId="0" applyFont="1" applyFill="1" applyBorder="1" applyAlignment="1" applyProtection="1">
      <alignment horizontal="center"/>
      <protection locked="0"/>
    </xf>
    <xf numFmtId="4" fontId="17" fillId="8" borderId="4" xfId="0" applyNumberFormat="1" applyFont="1" applyFill="1" applyBorder="1" applyAlignment="1" applyProtection="1">
      <alignment horizontal="right"/>
    </xf>
    <xf numFmtId="4" fontId="17" fillId="8" borderId="7" xfId="0" applyNumberFormat="1" applyFont="1" applyFill="1" applyBorder="1" applyProtection="1"/>
  </cellXfs>
  <cellStyles count="2">
    <cellStyle name="Normale" xfId="0" builtinId="0"/>
    <cellStyle name="Normale 2" xfId="1" xr:uid="{60FDF41C-697E-4A85-AAC5-F954C3E0AC3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171451</xdr:colOff>
      <xdr:row>2</xdr:row>
      <xdr:rowOff>129935</xdr:rowOff>
    </xdr:from>
    <xdr:to>
      <xdr:col>4</xdr:col>
      <xdr:colOff>1724025</xdr:colOff>
      <xdr:row>4</xdr:row>
      <xdr:rowOff>38099</xdr:rowOff>
    </xdr:to>
    <xdr:pic>
      <xdr:nvPicPr>
        <xdr:cNvPr id="2" name="Afbeelding 1">
          <a:extLst>
            <a:ext uri="{FF2B5EF4-FFF2-40B4-BE49-F238E27FC236}">
              <a16:creationId xmlns:a16="http://schemas.microsoft.com/office/drawing/2014/main" id="{41FB3698-5EDA-4CDF-A581-050079593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901" y="529985"/>
          <a:ext cx="1552574" cy="298689"/>
        </a:xfrm>
        <a:prstGeom prst="rect">
          <a:avLst/>
        </a:prstGeom>
      </xdr:spPr>
    </xdr:pic>
    <xdr:clientData/>
  </xdr:twoCellAnchor>
  <xdr:twoCellAnchor editAs="oneCell">
    <xdr:from>
      <xdr:col>1</xdr:col>
      <xdr:colOff>95250</xdr:colOff>
      <xdr:row>1</xdr:row>
      <xdr:rowOff>133351</xdr:rowOff>
    </xdr:from>
    <xdr:to>
      <xdr:col>2</xdr:col>
      <xdr:colOff>1390650</xdr:colOff>
      <xdr:row>5</xdr:row>
      <xdr:rowOff>130246</xdr:rowOff>
    </xdr:to>
    <xdr:pic>
      <xdr:nvPicPr>
        <xdr:cNvPr id="5" name="Afbeelding 4">
          <a:extLst>
            <a:ext uri="{FF2B5EF4-FFF2-40B4-BE49-F238E27FC236}">
              <a16:creationId xmlns:a16="http://schemas.microsoft.com/office/drawing/2014/main" id="{71F6EAA0-827F-4017-906F-8028601746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 y="333376"/>
          <a:ext cx="2076450" cy="816045"/>
        </a:xfrm>
        <a:prstGeom prst="rect">
          <a:avLst/>
        </a:prstGeom>
      </xdr:spPr>
    </xdr:pic>
    <xdr:clientData/>
  </xdr:twoCellAnchor>
  <xdr:twoCellAnchor>
    <xdr:from>
      <xdr:col>0</xdr:col>
      <xdr:colOff>342900</xdr:colOff>
      <xdr:row>16</xdr:row>
      <xdr:rowOff>38101</xdr:rowOff>
    </xdr:from>
    <xdr:to>
      <xdr:col>0</xdr:col>
      <xdr:colOff>714375</xdr:colOff>
      <xdr:row>25</xdr:row>
      <xdr:rowOff>19051</xdr:rowOff>
    </xdr:to>
    <xdr:sp macro="" textlink="">
      <xdr:nvSpPr>
        <xdr:cNvPr id="13" name="Pijl: gekromd rechts 12">
          <a:extLst>
            <a:ext uri="{FF2B5EF4-FFF2-40B4-BE49-F238E27FC236}">
              <a16:creationId xmlns:a16="http://schemas.microsoft.com/office/drawing/2014/main" id="{5753B887-AEC1-49EF-8F46-179C1C4274CE}"/>
            </a:ext>
          </a:extLst>
        </xdr:cNvPr>
        <xdr:cNvSpPr/>
      </xdr:nvSpPr>
      <xdr:spPr>
        <a:xfrm>
          <a:off x="342900" y="2524126"/>
          <a:ext cx="371475" cy="1485900"/>
        </a:xfrm>
        <a:prstGeom prst="curvedRightArrow">
          <a:avLst/>
        </a:prstGeom>
        <a:solidFill>
          <a:srgbClr val="FFFF00"/>
        </a:solidFill>
        <a:ln>
          <a:solidFill>
            <a:srgbClr val="0070C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333376</xdr:colOff>
      <xdr:row>1</xdr:row>
      <xdr:rowOff>148984</xdr:rowOff>
    </xdr:from>
    <xdr:to>
      <xdr:col>9</xdr:col>
      <xdr:colOff>438150</xdr:colOff>
      <xdr:row>3</xdr:row>
      <xdr:rowOff>19048</xdr:rowOff>
    </xdr:to>
    <xdr:pic>
      <xdr:nvPicPr>
        <xdr:cNvPr id="4" name="Afbeelding 3">
          <a:extLst>
            <a:ext uri="{FF2B5EF4-FFF2-40B4-BE49-F238E27FC236}">
              <a16:creationId xmlns:a16="http://schemas.microsoft.com/office/drawing/2014/main" id="{D55BA866-0878-4419-BF2A-01D8AA6C0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3901" y="349009"/>
          <a:ext cx="1552574" cy="298689"/>
        </a:xfrm>
        <a:prstGeom prst="rect">
          <a:avLst/>
        </a:prstGeom>
      </xdr:spPr>
    </xdr:pic>
    <xdr:clientData/>
  </xdr:twoCellAnchor>
  <xdr:twoCellAnchor editAs="oneCell">
    <xdr:from>
      <xdr:col>1</xdr:col>
      <xdr:colOff>57150</xdr:colOff>
      <xdr:row>0</xdr:row>
      <xdr:rowOff>104775</xdr:rowOff>
    </xdr:from>
    <xdr:to>
      <xdr:col>3</xdr:col>
      <xdr:colOff>285750</xdr:colOff>
      <xdr:row>4</xdr:row>
      <xdr:rowOff>130245</xdr:rowOff>
    </xdr:to>
    <xdr:pic>
      <xdr:nvPicPr>
        <xdr:cNvPr id="5" name="Afbeelding 4">
          <a:extLst>
            <a:ext uri="{FF2B5EF4-FFF2-40B4-BE49-F238E27FC236}">
              <a16:creationId xmlns:a16="http://schemas.microsoft.com/office/drawing/2014/main" id="{4B394426-E699-40FF-8D82-B73798FE22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0" y="104775"/>
          <a:ext cx="2076450" cy="816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381001</xdr:colOff>
      <xdr:row>1</xdr:row>
      <xdr:rowOff>168034</xdr:rowOff>
    </xdr:from>
    <xdr:to>
      <xdr:col>9</xdr:col>
      <xdr:colOff>561975</xdr:colOff>
      <xdr:row>3</xdr:row>
      <xdr:rowOff>38098</xdr:rowOff>
    </xdr:to>
    <xdr:pic>
      <xdr:nvPicPr>
        <xdr:cNvPr id="4" name="Afbeelding 3">
          <a:extLst>
            <a:ext uri="{FF2B5EF4-FFF2-40B4-BE49-F238E27FC236}">
              <a16:creationId xmlns:a16="http://schemas.microsoft.com/office/drawing/2014/main" id="{94A348C4-9526-455E-983C-CAC25B296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1" y="329959"/>
          <a:ext cx="1552574" cy="298689"/>
        </a:xfrm>
        <a:prstGeom prst="rect">
          <a:avLst/>
        </a:prstGeom>
      </xdr:spPr>
    </xdr:pic>
    <xdr:clientData/>
  </xdr:twoCellAnchor>
  <xdr:twoCellAnchor editAs="oneCell">
    <xdr:from>
      <xdr:col>1</xdr:col>
      <xdr:colOff>28575</xdr:colOff>
      <xdr:row>0</xdr:row>
      <xdr:rowOff>133350</xdr:rowOff>
    </xdr:from>
    <xdr:to>
      <xdr:col>3</xdr:col>
      <xdr:colOff>429643</xdr:colOff>
      <xdr:row>4</xdr:row>
      <xdr:rowOff>85725</xdr:rowOff>
    </xdr:to>
    <xdr:pic>
      <xdr:nvPicPr>
        <xdr:cNvPr id="5" name="Afbeelding 4">
          <a:extLst>
            <a:ext uri="{FF2B5EF4-FFF2-40B4-BE49-F238E27FC236}">
              <a16:creationId xmlns:a16="http://schemas.microsoft.com/office/drawing/2014/main" id="{1B610E1F-A93B-40E7-9BF3-E266E724C3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 y="133350"/>
          <a:ext cx="1963168" cy="771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381001</xdr:colOff>
      <xdr:row>1</xdr:row>
      <xdr:rowOff>168034</xdr:rowOff>
    </xdr:from>
    <xdr:to>
      <xdr:col>9</xdr:col>
      <xdr:colOff>561975</xdr:colOff>
      <xdr:row>3</xdr:row>
      <xdr:rowOff>38098</xdr:rowOff>
    </xdr:to>
    <xdr:pic>
      <xdr:nvPicPr>
        <xdr:cNvPr id="2" name="Afbeelding 1">
          <a:extLst>
            <a:ext uri="{FF2B5EF4-FFF2-40B4-BE49-F238E27FC236}">
              <a16:creationId xmlns:a16="http://schemas.microsoft.com/office/drawing/2014/main" id="{120CA27D-6F3C-4944-A942-2C2B418D99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1" y="329959"/>
          <a:ext cx="1552574" cy="298689"/>
        </a:xfrm>
        <a:prstGeom prst="rect">
          <a:avLst/>
        </a:prstGeom>
      </xdr:spPr>
    </xdr:pic>
    <xdr:clientData/>
  </xdr:twoCellAnchor>
  <xdr:twoCellAnchor editAs="oneCell">
    <xdr:from>
      <xdr:col>1</xdr:col>
      <xdr:colOff>28575</xdr:colOff>
      <xdr:row>0</xdr:row>
      <xdr:rowOff>133350</xdr:rowOff>
    </xdr:from>
    <xdr:to>
      <xdr:col>3</xdr:col>
      <xdr:colOff>429643</xdr:colOff>
      <xdr:row>4</xdr:row>
      <xdr:rowOff>85725</xdr:rowOff>
    </xdr:to>
    <xdr:pic>
      <xdr:nvPicPr>
        <xdr:cNvPr id="3" name="Afbeelding 2">
          <a:extLst>
            <a:ext uri="{FF2B5EF4-FFF2-40B4-BE49-F238E27FC236}">
              <a16:creationId xmlns:a16="http://schemas.microsoft.com/office/drawing/2014/main" id="{51C99F82-67D7-4750-B8F1-08AB00686B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 y="133350"/>
          <a:ext cx="1963168" cy="77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381001</xdr:colOff>
      <xdr:row>1</xdr:row>
      <xdr:rowOff>168034</xdr:rowOff>
    </xdr:from>
    <xdr:to>
      <xdr:col>9</xdr:col>
      <xdr:colOff>609600</xdr:colOff>
      <xdr:row>3</xdr:row>
      <xdr:rowOff>38098</xdr:rowOff>
    </xdr:to>
    <xdr:pic>
      <xdr:nvPicPr>
        <xdr:cNvPr id="2" name="Afbeelding 1">
          <a:extLst>
            <a:ext uri="{FF2B5EF4-FFF2-40B4-BE49-F238E27FC236}">
              <a16:creationId xmlns:a16="http://schemas.microsoft.com/office/drawing/2014/main" id="{27414169-50DD-4A89-9800-5101FB7BB9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1" y="329959"/>
          <a:ext cx="1552574" cy="298689"/>
        </a:xfrm>
        <a:prstGeom prst="rect">
          <a:avLst/>
        </a:prstGeom>
      </xdr:spPr>
    </xdr:pic>
    <xdr:clientData/>
  </xdr:twoCellAnchor>
  <xdr:twoCellAnchor editAs="oneCell">
    <xdr:from>
      <xdr:col>1</xdr:col>
      <xdr:colOff>28575</xdr:colOff>
      <xdr:row>0</xdr:row>
      <xdr:rowOff>133350</xdr:rowOff>
    </xdr:from>
    <xdr:to>
      <xdr:col>3</xdr:col>
      <xdr:colOff>429643</xdr:colOff>
      <xdr:row>4</xdr:row>
      <xdr:rowOff>85725</xdr:rowOff>
    </xdr:to>
    <xdr:pic>
      <xdr:nvPicPr>
        <xdr:cNvPr id="3" name="Afbeelding 2">
          <a:extLst>
            <a:ext uri="{FF2B5EF4-FFF2-40B4-BE49-F238E27FC236}">
              <a16:creationId xmlns:a16="http://schemas.microsoft.com/office/drawing/2014/main" id="{51FB27D7-36C5-4A68-B8A6-9BE7D91DC8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 y="133350"/>
          <a:ext cx="1963168"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lo.pesenti.IECISRL/AppData/Local/Microsoft/Windows/INetCache/Content.Outlook/YQEVSBZX/074-19-R4%20-%20Zalando%20-%20Base%20offerta%20su%20indicazione%20tempi%20Iec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 Total"/>
      <sheetName val="Intruder"/>
      <sheetName val="CCTV"/>
      <sheetName val="Access"/>
      <sheetName val="Riepilogo USO INTERNO"/>
      <sheetName val="Consistenza planimetrie"/>
      <sheetName val="Note"/>
      <sheetName val="NON CONSIDERARE PSIM"/>
    </sheetNames>
    <sheetDataSet>
      <sheetData sheetId="0">
        <row r="22">
          <cell r="E22">
            <v>42</v>
          </cell>
        </row>
      </sheetData>
      <sheetData sheetId="1">
        <row r="7">
          <cell r="U7">
            <v>0.23</v>
          </cell>
        </row>
        <row r="8">
          <cell r="U8">
            <v>0.25</v>
          </cell>
        </row>
        <row r="69">
          <cell r="R69">
            <v>1546.5000000000002</v>
          </cell>
        </row>
        <row r="104">
          <cell r="R104">
            <v>212819.98571428575</v>
          </cell>
        </row>
      </sheetData>
      <sheetData sheetId="2"/>
      <sheetData sheetId="3"/>
      <sheetData sheetId="4">
        <row r="32">
          <cell r="F32">
            <v>0</v>
          </cell>
        </row>
        <row r="33">
          <cell r="F33">
            <v>0</v>
          </cell>
        </row>
        <row r="34">
          <cell r="F34">
            <v>0</v>
          </cell>
        </row>
      </sheetData>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opLeftCell="A4" workbookViewId="0">
      <selection activeCell="E25" sqref="E25"/>
    </sheetView>
  </sheetViews>
  <sheetFormatPr defaultColWidth="11.42578125" defaultRowHeight="12.75" x14ac:dyDescent="0.2"/>
  <cols>
    <col min="1" max="1" width="11" customWidth="1"/>
    <col min="2" max="2" width="11.7109375" customWidth="1"/>
    <col min="3" max="3" width="22.7109375" customWidth="1"/>
    <col min="4" max="4" width="73" customWidth="1"/>
    <col min="5" max="5" width="27.7109375" style="132" customWidth="1"/>
    <col min="6" max="7" width="11.7109375" customWidth="1"/>
    <col min="8" max="10" width="9.140625" customWidth="1"/>
    <col min="11" max="11" width="10.28515625" bestFit="1" customWidth="1"/>
  </cols>
  <sheetData>
    <row r="1" spans="1:11" ht="15.75" x14ac:dyDescent="0.25">
      <c r="A1" s="8"/>
      <c r="B1" s="9"/>
      <c r="C1" s="9"/>
      <c r="D1" s="27" t="s">
        <v>21</v>
      </c>
      <c r="E1" s="129"/>
      <c r="F1" s="8"/>
      <c r="G1" s="8"/>
      <c r="H1" s="8"/>
    </row>
    <row r="2" spans="1:11" ht="15.75" x14ac:dyDescent="0.25">
      <c r="A2" s="8"/>
      <c r="B2" s="9"/>
      <c r="C2" s="9"/>
      <c r="D2" s="28"/>
      <c r="E2" s="129"/>
      <c r="F2" s="8"/>
      <c r="G2" s="8"/>
      <c r="H2" s="8"/>
    </row>
    <row r="3" spans="1:11" ht="18" x14ac:dyDescent="0.25">
      <c r="A3" s="8"/>
      <c r="B3" s="9"/>
      <c r="C3" s="9"/>
      <c r="D3" s="29" t="s">
        <v>150</v>
      </c>
      <c r="E3" s="129"/>
      <c r="F3" s="8"/>
      <c r="G3" s="8"/>
      <c r="H3" s="8"/>
    </row>
    <row r="4" spans="1:11" x14ac:dyDescent="0.2">
      <c r="A4" s="8"/>
      <c r="B4" s="8"/>
      <c r="C4" s="8"/>
      <c r="D4" s="28"/>
      <c r="E4" s="129"/>
      <c r="F4" s="8"/>
      <c r="G4" s="8"/>
      <c r="H4" s="8"/>
    </row>
    <row r="5" spans="1:11" ht="18" x14ac:dyDescent="0.25">
      <c r="A5" s="8"/>
      <c r="B5" s="10"/>
      <c r="C5" s="10"/>
      <c r="D5" s="28"/>
      <c r="E5" s="129"/>
      <c r="F5" s="8"/>
      <c r="G5" s="8"/>
      <c r="H5" s="8"/>
    </row>
    <row r="6" spans="1:11" x14ac:dyDescent="0.2">
      <c r="A6" s="8"/>
      <c r="B6" s="11"/>
      <c r="C6" s="11"/>
      <c r="D6" s="30"/>
      <c r="E6" s="130"/>
      <c r="F6" s="8"/>
      <c r="G6" s="8"/>
      <c r="H6" s="8"/>
    </row>
    <row r="7" spans="1:11" x14ac:dyDescent="0.2">
      <c r="A7" s="8"/>
      <c r="B7" s="11"/>
      <c r="C7" s="11"/>
      <c r="D7" s="30" t="s">
        <v>153</v>
      </c>
      <c r="E7" s="130"/>
      <c r="F7" s="8"/>
      <c r="G7" s="8"/>
      <c r="H7" s="8"/>
      <c r="J7" s="2"/>
      <c r="K7" s="2"/>
    </row>
    <row r="8" spans="1:11" ht="13.5" thickBot="1" x14ac:dyDescent="0.25">
      <c r="A8" s="8"/>
      <c r="B8" s="12"/>
      <c r="C8" s="12"/>
      <c r="D8" s="31"/>
      <c r="E8" s="130"/>
      <c r="F8" s="8"/>
      <c r="G8" s="8"/>
      <c r="H8" s="8"/>
      <c r="J8" s="2"/>
      <c r="K8" s="3"/>
    </row>
    <row r="9" spans="1:11" x14ac:dyDescent="0.2">
      <c r="A9" s="8"/>
      <c r="B9" s="12"/>
      <c r="C9" s="12"/>
      <c r="D9" s="11"/>
      <c r="E9" s="130"/>
      <c r="F9" s="8"/>
      <c r="G9" s="8"/>
      <c r="H9" s="8"/>
      <c r="J9" s="2"/>
      <c r="K9" s="3"/>
    </row>
    <row r="10" spans="1:11" x14ac:dyDescent="0.2">
      <c r="A10" s="8"/>
      <c r="B10" s="12"/>
      <c r="C10" s="12"/>
      <c r="D10" s="11"/>
      <c r="E10" s="131"/>
      <c r="F10" s="8"/>
      <c r="G10" s="8"/>
      <c r="H10" s="8"/>
      <c r="J10" s="2"/>
      <c r="K10" s="3"/>
    </row>
    <row r="11" spans="1:11" x14ac:dyDescent="0.2">
      <c r="A11" s="8"/>
      <c r="B11" s="16" t="s">
        <v>6</v>
      </c>
      <c r="C11" s="33"/>
      <c r="D11" s="8"/>
      <c r="E11" s="147">
        <f>Intruder!J54</f>
        <v>80125.600000000006</v>
      </c>
      <c r="F11" s="33" t="s">
        <v>155</v>
      </c>
      <c r="G11" s="152" t="s">
        <v>158</v>
      </c>
      <c r="H11" s="8"/>
      <c r="J11" s="2"/>
      <c r="K11" s="3"/>
    </row>
    <row r="12" spans="1:11" x14ac:dyDescent="0.2">
      <c r="A12" s="8"/>
      <c r="B12" s="16" t="s">
        <v>95</v>
      </c>
      <c r="C12" s="33"/>
      <c r="D12" s="8"/>
      <c r="E12" s="147">
        <f>Intruder!J67</f>
        <v>0</v>
      </c>
      <c r="F12" s="33" t="s">
        <v>155</v>
      </c>
      <c r="G12" s="152" t="s">
        <v>158</v>
      </c>
      <c r="H12" s="8"/>
      <c r="J12" s="2"/>
      <c r="K12" s="3"/>
    </row>
    <row r="13" spans="1:11" x14ac:dyDescent="0.2">
      <c r="A13" s="8"/>
      <c r="B13" s="16" t="s">
        <v>7</v>
      </c>
      <c r="C13" s="33"/>
      <c r="D13" s="8"/>
      <c r="E13" s="147">
        <f>CCTV!J52</f>
        <v>197514.6</v>
      </c>
      <c r="F13" s="33" t="s">
        <v>155</v>
      </c>
      <c r="G13" s="152" t="s">
        <v>158</v>
      </c>
      <c r="H13" s="8"/>
      <c r="J13" s="2"/>
      <c r="K13" s="3"/>
    </row>
    <row r="14" spans="1:11" x14ac:dyDescent="0.2">
      <c r="A14" s="8"/>
      <c r="B14" s="16" t="s">
        <v>96</v>
      </c>
      <c r="C14" s="33"/>
      <c r="D14" s="8"/>
      <c r="E14" s="147">
        <f>CCTV!J62</f>
        <v>0</v>
      </c>
      <c r="F14" s="33" t="s">
        <v>155</v>
      </c>
      <c r="G14" s="152" t="s">
        <v>158</v>
      </c>
      <c r="H14" s="8"/>
      <c r="J14" s="2"/>
      <c r="K14" s="3"/>
    </row>
    <row r="15" spans="1:11" x14ac:dyDescent="0.2">
      <c r="A15" s="8"/>
      <c r="B15" s="16" t="s">
        <v>131</v>
      </c>
      <c r="C15" s="33"/>
      <c r="D15" s="8"/>
      <c r="E15" s="147">
        <f>Access!J42</f>
        <v>109143.8</v>
      </c>
      <c r="F15" s="33" t="s">
        <v>155</v>
      </c>
      <c r="G15" s="152" t="s">
        <v>158</v>
      </c>
      <c r="H15" s="8"/>
      <c r="J15" s="2"/>
      <c r="K15" s="3"/>
    </row>
    <row r="16" spans="1:11" x14ac:dyDescent="0.2">
      <c r="A16" s="8"/>
      <c r="B16" s="16" t="s">
        <v>132</v>
      </c>
      <c r="C16" s="33"/>
      <c r="D16" s="8"/>
      <c r="E16" s="147">
        <f>Access!J52</f>
        <v>6596</v>
      </c>
      <c r="F16" s="33" t="s">
        <v>155</v>
      </c>
      <c r="G16" s="152" t="s">
        <v>158</v>
      </c>
      <c r="H16" s="8"/>
      <c r="J16" s="2"/>
      <c r="K16" s="3"/>
    </row>
    <row r="17" spans="1:12" x14ac:dyDescent="0.2">
      <c r="A17" s="8"/>
      <c r="B17" s="26" t="s">
        <v>18</v>
      </c>
      <c r="C17" s="35"/>
      <c r="D17" s="36"/>
      <c r="E17" s="148">
        <f>SUM(E26:E33)</f>
        <v>107000</v>
      </c>
      <c r="F17" s="33" t="s">
        <v>155</v>
      </c>
      <c r="G17" s="152" t="s">
        <v>158</v>
      </c>
      <c r="H17" s="8"/>
      <c r="J17" s="2"/>
      <c r="K17" s="3"/>
    </row>
    <row r="18" spans="1:12" ht="13.5" thickBot="1" x14ac:dyDescent="0.25">
      <c r="A18" s="8"/>
      <c r="B18" s="34"/>
      <c r="C18" s="37"/>
      <c r="D18" s="38"/>
      <c r="E18" s="139"/>
      <c r="F18" s="8"/>
      <c r="G18" s="33"/>
      <c r="H18" s="8"/>
      <c r="J18" s="2"/>
      <c r="K18" s="3"/>
    </row>
    <row r="19" spans="1:12" ht="13.5" thickBot="1" x14ac:dyDescent="0.25">
      <c r="A19" s="8"/>
      <c r="B19" s="18" t="s">
        <v>8</v>
      </c>
      <c r="C19" s="39"/>
      <c r="D19" s="40"/>
      <c r="E19" s="149">
        <f>SUM(E11:E17)</f>
        <v>500380</v>
      </c>
      <c r="F19" s="33" t="s">
        <v>155</v>
      </c>
      <c r="G19" s="152" t="s">
        <v>158</v>
      </c>
      <c r="H19" s="8"/>
      <c r="J19" s="2"/>
      <c r="K19" s="3"/>
    </row>
    <row r="20" spans="1:12" x14ac:dyDescent="0.2">
      <c r="A20" s="8"/>
      <c r="B20" s="15"/>
      <c r="C20" s="33"/>
      <c r="D20" s="8"/>
      <c r="E20" s="138"/>
      <c r="F20" s="8"/>
      <c r="G20" s="13"/>
      <c r="H20" s="8"/>
    </row>
    <row r="21" spans="1:12" ht="13.5" thickBot="1" x14ac:dyDescent="0.25">
      <c r="A21" s="8"/>
      <c r="B21" s="8"/>
      <c r="C21" s="8"/>
      <c r="D21" s="8"/>
      <c r="E21" s="140"/>
      <c r="F21" s="8"/>
      <c r="G21" s="14"/>
      <c r="H21" s="8"/>
    </row>
    <row r="22" spans="1:12" ht="13.5" thickBot="1" x14ac:dyDescent="0.25">
      <c r="A22" s="8"/>
      <c r="B22" s="25" t="s">
        <v>133</v>
      </c>
      <c r="C22" s="41"/>
      <c r="D22" s="42"/>
      <c r="E22" s="141">
        <v>42</v>
      </c>
      <c r="F22" s="33" t="s">
        <v>155</v>
      </c>
      <c r="G22" s="151" t="s">
        <v>154</v>
      </c>
      <c r="H22" s="152"/>
      <c r="I22" s="153"/>
      <c r="J22" s="153"/>
      <c r="K22" s="153"/>
      <c r="L22" s="153"/>
    </row>
    <row r="23" spans="1:12" x14ac:dyDescent="0.2">
      <c r="A23" s="8"/>
      <c r="B23" s="8"/>
      <c r="C23" s="8"/>
      <c r="D23" s="8"/>
      <c r="E23" s="142"/>
      <c r="F23" s="8"/>
      <c r="G23" s="14"/>
      <c r="H23" s="8"/>
    </row>
    <row r="24" spans="1:12" x14ac:dyDescent="0.2">
      <c r="A24" s="8"/>
      <c r="B24" s="8"/>
      <c r="C24" s="8"/>
      <c r="D24" s="8"/>
      <c r="E24" s="142"/>
      <c r="F24" s="8"/>
      <c r="G24" s="14"/>
      <c r="H24" s="8"/>
    </row>
    <row r="25" spans="1:12" ht="13.5" thickBot="1" x14ac:dyDescent="0.25">
      <c r="A25" s="8"/>
      <c r="B25" s="33" t="s">
        <v>16</v>
      </c>
      <c r="C25" s="8"/>
      <c r="D25" s="8"/>
      <c r="E25" s="143" t="s">
        <v>19</v>
      </c>
      <c r="F25" s="8"/>
      <c r="G25" s="14"/>
      <c r="H25" s="8"/>
    </row>
    <row r="26" spans="1:12" x14ac:dyDescent="0.2">
      <c r="A26" s="8"/>
      <c r="B26" s="116" t="s">
        <v>97</v>
      </c>
      <c r="C26" s="116"/>
      <c r="D26" s="117"/>
      <c r="E26" s="144">
        <v>50000</v>
      </c>
      <c r="F26" s="155" t="s">
        <v>155</v>
      </c>
      <c r="G26" s="154" t="s">
        <v>156</v>
      </c>
      <c r="H26" s="153"/>
      <c r="I26" s="153"/>
      <c r="J26" s="153"/>
      <c r="K26" s="153"/>
      <c r="L26" s="153"/>
    </row>
    <row r="27" spans="1:12" x14ac:dyDescent="0.2">
      <c r="A27" s="8"/>
      <c r="B27" s="116" t="s">
        <v>98</v>
      </c>
      <c r="D27" s="117"/>
      <c r="E27" s="145">
        <v>35000</v>
      </c>
      <c r="G27" s="7" t="s">
        <v>157</v>
      </c>
    </row>
    <row r="28" spans="1:12" x14ac:dyDescent="0.2">
      <c r="A28" s="8"/>
      <c r="B28" s="116" t="s">
        <v>99</v>
      </c>
      <c r="D28" s="117"/>
      <c r="E28" s="145">
        <v>7000</v>
      </c>
      <c r="G28" s="7" t="s">
        <v>157</v>
      </c>
    </row>
    <row r="29" spans="1:12" x14ac:dyDescent="0.2">
      <c r="A29" s="8"/>
      <c r="B29" s="116" t="s">
        <v>100</v>
      </c>
      <c r="D29" s="117"/>
      <c r="E29" s="145">
        <v>5000</v>
      </c>
      <c r="G29" s="7" t="s">
        <v>157</v>
      </c>
    </row>
    <row r="30" spans="1:12" x14ac:dyDescent="0.2">
      <c r="A30" s="8"/>
      <c r="B30" s="116" t="s">
        <v>101</v>
      </c>
      <c r="C30" s="117"/>
      <c r="D30" s="117"/>
      <c r="E30" s="145">
        <v>10000</v>
      </c>
      <c r="G30" s="7" t="s">
        <v>157</v>
      </c>
    </row>
    <row r="31" spans="1:12" x14ac:dyDescent="0.2">
      <c r="A31" s="8"/>
      <c r="B31" s="116" t="s">
        <v>102</v>
      </c>
      <c r="C31" s="117"/>
      <c r="D31" s="117"/>
      <c r="E31" s="145"/>
      <c r="G31" s="7" t="s">
        <v>157</v>
      </c>
    </row>
    <row r="32" spans="1:12" x14ac:dyDescent="0.2">
      <c r="A32" s="8"/>
      <c r="B32" s="116" t="s">
        <v>103</v>
      </c>
      <c r="C32" s="117"/>
      <c r="D32" s="117"/>
      <c r="E32" s="145"/>
      <c r="G32" s="7" t="s">
        <v>157</v>
      </c>
    </row>
    <row r="33" spans="1:7" ht="13.5" thickBot="1" x14ac:dyDescent="0.25">
      <c r="A33" s="8"/>
      <c r="B33" s="116" t="s">
        <v>104</v>
      </c>
      <c r="C33" s="117"/>
      <c r="D33" s="117"/>
      <c r="E33" s="146"/>
      <c r="G33" s="7" t="s">
        <v>157</v>
      </c>
    </row>
    <row r="34" spans="1:7" x14ac:dyDescent="0.2">
      <c r="A34" s="8"/>
      <c r="B34" s="8"/>
      <c r="C34" s="8"/>
      <c r="D34" s="8"/>
      <c r="E34" s="129"/>
      <c r="G34" s="7"/>
    </row>
    <row r="35" spans="1:7" x14ac:dyDescent="0.2">
      <c r="A35" s="8"/>
      <c r="B35" s="33" t="s">
        <v>17</v>
      </c>
      <c r="C35" s="8"/>
      <c r="D35" s="8"/>
      <c r="E35" s="129"/>
      <c r="G35" s="5"/>
    </row>
    <row r="36" spans="1:7" x14ac:dyDescent="0.2">
      <c r="G36" s="5"/>
    </row>
    <row r="37" spans="1:7" x14ac:dyDescent="0.2">
      <c r="B37" s="133" t="s">
        <v>151</v>
      </c>
      <c r="C37" s="134"/>
      <c r="D37" s="134"/>
    </row>
    <row r="38" spans="1:7" s="4" customFormat="1" x14ac:dyDescent="0.2">
      <c r="B38"/>
      <c r="C38"/>
      <c r="D38"/>
      <c r="E38" s="132"/>
      <c r="F38"/>
    </row>
    <row r="39" spans="1:7" ht="36" customHeight="1" x14ac:dyDescent="0.2"/>
    <row r="45" spans="1:7" x14ac:dyDescent="0.2">
      <c r="G45" s="7"/>
    </row>
  </sheetData>
  <sheetProtection selectLockedCells="1"/>
  <phoneticPr fontId="11" type="noConversion"/>
  <pageMargins left="1.1417322834645669" right="0.74803149606299213" top="1.3779527559055118" bottom="0.39370078740157483" header="0.98425196850393704" footer="0"/>
  <pageSetup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8"/>
  <sheetViews>
    <sheetView topLeftCell="C37" zoomScale="115" zoomScaleNormal="115" workbookViewId="0">
      <selection activeCell="I53" sqref="I53"/>
    </sheetView>
  </sheetViews>
  <sheetFormatPr defaultColWidth="11.42578125" defaultRowHeight="12.75" x14ac:dyDescent="0.2"/>
  <cols>
    <col min="1" max="1" width="3.7109375" customWidth="1"/>
    <col min="2" max="2" width="16" customWidth="1"/>
    <col min="3" max="3" width="11.7109375" customWidth="1"/>
    <col min="4" max="4" width="6.7109375" customWidth="1"/>
    <col min="5" max="5" width="70.42578125" customWidth="1"/>
    <col min="6" max="6" width="15" style="22" customWidth="1"/>
    <col min="7" max="7" width="17.28515625" style="22" customWidth="1"/>
    <col min="8" max="8" width="11.7109375" style="21" customWidth="1"/>
    <col min="9" max="9" width="10" customWidth="1"/>
    <col min="10" max="10" width="13.85546875" customWidth="1"/>
    <col min="11" max="11" width="9.140625" customWidth="1"/>
    <col min="12" max="12" width="10.28515625" bestFit="1" customWidth="1"/>
  </cols>
  <sheetData>
    <row r="1" spans="1:21" ht="15.75" x14ac:dyDescent="0.25">
      <c r="A1" s="8"/>
      <c r="B1" s="9"/>
      <c r="C1" s="9"/>
      <c r="D1" s="9"/>
      <c r="E1" s="206" t="str">
        <f>'Grand Total'!D1</f>
        <v>Zalando Quotation sheet Template</v>
      </c>
      <c r="F1" s="207"/>
      <c r="G1" s="208"/>
      <c r="H1" s="43"/>
      <c r="I1" s="8"/>
      <c r="J1" s="8"/>
    </row>
    <row r="2" spans="1:21" ht="18" x14ac:dyDescent="0.25">
      <c r="A2" s="8"/>
      <c r="B2" s="9"/>
      <c r="C2" s="9"/>
      <c r="D2" s="9"/>
      <c r="E2" s="209"/>
      <c r="F2" s="201"/>
      <c r="G2" s="202"/>
      <c r="H2" s="43"/>
      <c r="I2" s="8"/>
      <c r="J2" s="8"/>
    </row>
    <row r="3" spans="1:21" ht="15.75" x14ac:dyDescent="0.25">
      <c r="A3" s="8"/>
      <c r="B3" s="9"/>
      <c r="C3" s="9"/>
      <c r="D3" s="9"/>
      <c r="E3" s="200" t="str">
        <f>'Grand Total'!D3</f>
        <v>QUOTATION ZALANDO GF6 Verona Italy</v>
      </c>
      <c r="F3" s="201"/>
      <c r="G3" s="202"/>
      <c r="H3" s="43"/>
      <c r="I3" s="8"/>
      <c r="J3" s="8"/>
    </row>
    <row r="4" spans="1:21" x14ac:dyDescent="0.2">
      <c r="A4" s="8"/>
      <c r="B4" s="8"/>
      <c r="C4" s="8"/>
      <c r="D4" s="8"/>
      <c r="E4" s="200">
        <f>'Grand Total'!D6</f>
        <v>0</v>
      </c>
      <c r="F4" s="201"/>
      <c r="G4" s="202"/>
      <c r="H4" s="43"/>
      <c r="I4" s="8"/>
      <c r="J4" s="8"/>
    </row>
    <row r="5" spans="1:21" ht="18" x14ac:dyDescent="0.25">
      <c r="A5" s="8"/>
      <c r="B5" s="10"/>
      <c r="C5" s="10"/>
      <c r="D5" s="10"/>
      <c r="E5" s="200" t="str">
        <f>'Grand Total'!D7</f>
        <v>Date: 17-6-2019</v>
      </c>
      <c r="F5" s="201"/>
      <c r="G5" s="202"/>
      <c r="H5" s="43"/>
      <c r="I5" s="8"/>
      <c r="J5" s="8"/>
    </row>
    <row r="6" spans="1:21" ht="13.5" thickBot="1" x14ac:dyDescent="0.25">
      <c r="A6" s="8"/>
      <c r="B6" s="11"/>
      <c r="C6" s="11"/>
      <c r="D6" s="11"/>
      <c r="E6" s="203"/>
      <c r="F6" s="204"/>
      <c r="G6" s="205"/>
      <c r="H6" s="43"/>
      <c r="I6" s="8"/>
      <c r="J6" s="8"/>
    </row>
    <row r="7" spans="1:21" x14ac:dyDescent="0.2">
      <c r="A7" s="8"/>
      <c r="B7" s="11"/>
      <c r="C7" s="11"/>
      <c r="D7" s="11"/>
      <c r="E7" s="8"/>
      <c r="F7" s="24"/>
      <c r="G7" s="23"/>
      <c r="H7" s="43"/>
      <c r="I7" s="8"/>
      <c r="J7" s="8"/>
      <c r="K7" s="2"/>
      <c r="L7" s="2"/>
    </row>
    <row r="8" spans="1:21" x14ac:dyDescent="0.2">
      <c r="A8" s="8"/>
      <c r="B8" s="11"/>
      <c r="C8" s="11"/>
      <c r="D8" s="11"/>
      <c r="E8" s="165" t="s">
        <v>171</v>
      </c>
      <c r="F8" s="166"/>
      <c r="G8" s="23"/>
      <c r="H8" s="43"/>
      <c r="I8" s="8"/>
      <c r="J8" s="8"/>
      <c r="K8" s="2"/>
      <c r="L8" s="2"/>
    </row>
    <row r="9" spans="1:21" x14ac:dyDescent="0.2">
      <c r="A9" s="8"/>
      <c r="B9" s="11"/>
      <c r="C9" s="11"/>
      <c r="D9" s="11"/>
      <c r="E9" s="165" t="s">
        <v>172</v>
      </c>
      <c r="F9" s="166"/>
      <c r="G9" s="23"/>
      <c r="H9" s="43"/>
      <c r="I9" s="8"/>
      <c r="J9" s="8"/>
      <c r="K9" s="2"/>
      <c r="L9" s="2"/>
    </row>
    <row r="10" spans="1:21" x14ac:dyDescent="0.2">
      <c r="A10" s="8"/>
      <c r="B10" s="11"/>
      <c r="C10" s="11"/>
      <c r="D10" s="11"/>
      <c r="E10" s="34"/>
      <c r="F10" s="114"/>
      <c r="G10" s="23"/>
      <c r="H10" s="43"/>
      <c r="I10" s="8"/>
      <c r="J10" s="8"/>
      <c r="K10" s="2"/>
      <c r="L10" s="2"/>
    </row>
    <row r="11" spans="1:21" x14ac:dyDescent="0.2">
      <c r="A11" s="8"/>
      <c r="B11" s="11"/>
      <c r="C11" s="11"/>
      <c r="D11" s="156" t="s">
        <v>159</v>
      </c>
      <c r="E11" s="8"/>
      <c r="F11" s="157" t="s">
        <v>160</v>
      </c>
      <c r="G11" s="23"/>
      <c r="H11" s="158" t="s">
        <v>161</v>
      </c>
      <c r="I11" s="8"/>
      <c r="J11" s="8"/>
      <c r="K11" s="2"/>
      <c r="L11" s="2"/>
    </row>
    <row r="12" spans="1:21" x14ac:dyDescent="0.2">
      <c r="A12" s="8"/>
      <c r="B12" s="11"/>
      <c r="C12" s="11"/>
      <c r="D12" s="161" t="s">
        <v>163</v>
      </c>
      <c r="E12" s="161"/>
      <c r="F12" s="162" t="s">
        <v>163</v>
      </c>
      <c r="G12" s="162"/>
      <c r="H12" s="160" t="s">
        <v>163</v>
      </c>
      <c r="I12" s="8"/>
      <c r="J12" s="8"/>
      <c r="K12" s="2"/>
      <c r="L12" s="2"/>
    </row>
    <row r="13" spans="1:21" ht="13.5" thickBot="1" x14ac:dyDescent="0.25">
      <c r="A13" s="8"/>
      <c r="B13" s="12"/>
      <c r="C13" s="12"/>
      <c r="D13" s="12" t="s">
        <v>162</v>
      </c>
      <c r="E13" s="12"/>
      <c r="F13" s="163" t="s">
        <v>162</v>
      </c>
      <c r="G13" s="157" t="s">
        <v>165</v>
      </c>
      <c r="H13" s="159" t="s">
        <v>162</v>
      </c>
      <c r="I13" s="156" t="s">
        <v>164</v>
      </c>
      <c r="J13" s="156" t="s">
        <v>164</v>
      </c>
      <c r="K13" s="2"/>
      <c r="L13" s="3"/>
    </row>
    <row r="14" spans="1:21" ht="36" customHeight="1" thickBot="1" x14ac:dyDescent="0.25">
      <c r="A14" s="8"/>
      <c r="B14" s="44" t="s">
        <v>2</v>
      </c>
      <c r="C14" s="44" t="s">
        <v>3</v>
      </c>
      <c r="D14" s="44" t="s">
        <v>1</v>
      </c>
      <c r="E14" s="45" t="s">
        <v>4</v>
      </c>
      <c r="F14" s="46" t="s">
        <v>130</v>
      </c>
      <c r="G14" s="46" t="s">
        <v>12</v>
      </c>
      <c r="H14" s="47" t="s">
        <v>9</v>
      </c>
      <c r="I14" s="47" t="s">
        <v>10</v>
      </c>
      <c r="J14" s="47" t="s">
        <v>11</v>
      </c>
    </row>
    <row r="15" spans="1:21" x14ac:dyDescent="0.2">
      <c r="A15" s="8"/>
      <c r="B15" s="48" t="s">
        <v>22</v>
      </c>
      <c r="C15" s="49" t="s">
        <v>20</v>
      </c>
      <c r="D15" s="169">
        <v>1</v>
      </c>
      <c r="E15" s="51" t="s">
        <v>23</v>
      </c>
      <c r="F15" s="173">
        <f>1470*(1-ScontoListinoAllarme)</f>
        <v>1470</v>
      </c>
      <c r="G15" s="52">
        <f>+D15*F15</f>
        <v>1470</v>
      </c>
      <c r="H15" s="175">
        <v>16</v>
      </c>
      <c r="I15" s="53">
        <f>H15*D15</f>
        <v>16</v>
      </c>
      <c r="J15" s="54">
        <f>I15*'Grand Total'!$E$22</f>
        <v>672</v>
      </c>
      <c r="K15" s="155" t="s">
        <v>166</v>
      </c>
      <c r="L15" s="153" t="s">
        <v>167</v>
      </c>
      <c r="M15" s="153"/>
      <c r="N15" s="153"/>
      <c r="O15" s="153"/>
      <c r="P15" s="153"/>
      <c r="Q15" s="153"/>
      <c r="R15" s="153"/>
      <c r="S15" s="153"/>
      <c r="T15" s="153"/>
      <c r="U15" s="150"/>
    </row>
    <row r="16" spans="1:21" x14ac:dyDescent="0.2">
      <c r="A16" s="8"/>
      <c r="B16" s="48" t="s">
        <v>24</v>
      </c>
      <c r="C16" s="49" t="s">
        <v>20</v>
      </c>
      <c r="D16" s="169">
        <v>28</v>
      </c>
      <c r="E16" s="51" t="s">
        <v>26</v>
      </c>
      <c r="F16" s="173">
        <f>170*(1-ScontoListinoAllarme)</f>
        <v>170</v>
      </c>
      <c r="G16" s="52">
        <f t="shared" ref="G16:G47" si="0">+D16*F16</f>
        <v>4760</v>
      </c>
      <c r="H16" s="176">
        <v>3</v>
      </c>
      <c r="I16" s="55">
        <f>H16*D16</f>
        <v>84</v>
      </c>
      <c r="J16" s="56">
        <f>I16*'Grand Total'!$E$22</f>
        <v>3528</v>
      </c>
      <c r="L16" s="155" t="s">
        <v>157</v>
      </c>
    </row>
    <row r="17" spans="1:12" x14ac:dyDescent="0.2">
      <c r="A17" s="8"/>
      <c r="B17" s="48" t="s">
        <v>27</v>
      </c>
      <c r="C17" s="49" t="s">
        <v>20</v>
      </c>
      <c r="D17" s="170"/>
      <c r="E17" s="51" t="s">
        <v>25</v>
      </c>
      <c r="F17" s="173"/>
      <c r="G17" s="52">
        <f t="shared" si="0"/>
        <v>0</v>
      </c>
      <c r="H17" s="176"/>
      <c r="I17" s="55">
        <f t="shared" ref="I17:I47" si="1">H17*D17</f>
        <v>0</v>
      </c>
      <c r="J17" s="56">
        <f>I17*'Grand Total'!$E$22</f>
        <v>0</v>
      </c>
      <c r="L17" s="155" t="s">
        <v>157</v>
      </c>
    </row>
    <row r="18" spans="1:12" x14ac:dyDescent="0.2">
      <c r="A18" s="8"/>
      <c r="B18" s="58" t="s">
        <v>28</v>
      </c>
      <c r="C18" s="49" t="s">
        <v>20</v>
      </c>
      <c r="D18" s="169">
        <v>31</v>
      </c>
      <c r="E18" s="51" t="s">
        <v>29</v>
      </c>
      <c r="F18" s="173">
        <f>550*(1-ScontoListinoAllarme)</f>
        <v>550</v>
      </c>
      <c r="G18" s="108">
        <f>+D18*F18</f>
        <v>17050</v>
      </c>
      <c r="H18" s="176">
        <v>4</v>
      </c>
      <c r="I18" s="55">
        <f>H18*D18</f>
        <v>124</v>
      </c>
      <c r="J18" s="56">
        <f>I18*'Grand Total'!$E$22</f>
        <v>5208</v>
      </c>
      <c r="L18" s="155" t="s">
        <v>157</v>
      </c>
    </row>
    <row r="19" spans="1:12" x14ac:dyDescent="0.2">
      <c r="A19" s="8"/>
      <c r="B19" s="58" t="s">
        <v>30</v>
      </c>
      <c r="C19" s="49" t="s">
        <v>20</v>
      </c>
      <c r="D19" s="170"/>
      <c r="E19" s="51" t="s">
        <v>32</v>
      </c>
      <c r="F19" s="173"/>
      <c r="G19" s="108">
        <f>+D19*F19</f>
        <v>0</v>
      </c>
      <c r="H19" s="176"/>
      <c r="I19" s="55">
        <f>H19*D19</f>
        <v>0</v>
      </c>
      <c r="J19" s="56">
        <f>I19*'Grand Total'!$E$22</f>
        <v>0</v>
      </c>
      <c r="L19" s="155" t="s">
        <v>157</v>
      </c>
    </row>
    <row r="20" spans="1:12" x14ac:dyDescent="0.2">
      <c r="A20" s="8"/>
      <c r="B20" s="48" t="s">
        <v>31</v>
      </c>
      <c r="C20" s="49" t="s">
        <v>20</v>
      </c>
      <c r="D20" s="169">
        <f>D18</f>
        <v>31</v>
      </c>
      <c r="E20" s="51" t="s">
        <v>33</v>
      </c>
      <c r="F20" s="173">
        <f>140*(1-ScontoListinoAllarme)</f>
        <v>140</v>
      </c>
      <c r="G20" s="52">
        <f>+D20*F20</f>
        <v>4340</v>
      </c>
      <c r="H20" s="176">
        <v>4</v>
      </c>
      <c r="I20" s="55">
        <f t="shared" si="1"/>
        <v>124</v>
      </c>
      <c r="J20" s="56">
        <f>I20*'Grand Total'!$E$22</f>
        <v>5208</v>
      </c>
      <c r="L20" s="155" t="s">
        <v>157</v>
      </c>
    </row>
    <row r="21" spans="1:12" x14ac:dyDescent="0.2">
      <c r="A21" s="8"/>
      <c r="B21" s="48" t="s">
        <v>34</v>
      </c>
      <c r="C21" s="49" t="s">
        <v>35</v>
      </c>
      <c r="D21" s="170"/>
      <c r="E21" s="51" t="s">
        <v>36</v>
      </c>
      <c r="F21" s="173"/>
      <c r="G21" s="52">
        <f t="shared" si="0"/>
        <v>0</v>
      </c>
      <c r="H21" s="176"/>
      <c r="I21" s="55">
        <f t="shared" si="1"/>
        <v>0</v>
      </c>
      <c r="J21" s="56">
        <f>I21*'Grand Total'!$E$22</f>
        <v>0</v>
      </c>
      <c r="L21" s="155" t="s">
        <v>157</v>
      </c>
    </row>
    <row r="22" spans="1:12" x14ac:dyDescent="0.2">
      <c r="A22" s="8"/>
      <c r="B22" s="48" t="s">
        <v>41</v>
      </c>
      <c r="C22" s="49" t="s">
        <v>37</v>
      </c>
      <c r="D22" s="170"/>
      <c r="E22" s="51" t="s">
        <v>40</v>
      </c>
      <c r="F22" s="173"/>
      <c r="G22" s="52">
        <f t="shared" si="0"/>
        <v>0</v>
      </c>
      <c r="H22" s="176"/>
      <c r="I22" s="55">
        <f t="shared" si="1"/>
        <v>0</v>
      </c>
      <c r="J22" s="56">
        <f>I22*'Grand Total'!$E$22</f>
        <v>0</v>
      </c>
      <c r="L22" s="155" t="s">
        <v>157</v>
      </c>
    </row>
    <row r="23" spans="1:12" x14ac:dyDescent="0.2">
      <c r="A23" s="8"/>
      <c r="B23" s="48" t="s">
        <v>38</v>
      </c>
      <c r="C23" s="49" t="s">
        <v>37</v>
      </c>
      <c r="D23" s="170"/>
      <c r="E23" s="51" t="s">
        <v>39</v>
      </c>
      <c r="F23" s="173"/>
      <c r="G23" s="52">
        <f t="shared" si="0"/>
        <v>0</v>
      </c>
      <c r="H23" s="176"/>
      <c r="I23" s="55">
        <f t="shared" si="1"/>
        <v>0</v>
      </c>
      <c r="J23" s="56">
        <f>I23*'Grand Total'!$E$22</f>
        <v>0</v>
      </c>
      <c r="L23" s="155" t="s">
        <v>157</v>
      </c>
    </row>
    <row r="24" spans="1:12" x14ac:dyDescent="0.2">
      <c r="A24" s="8"/>
      <c r="B24" s="48" t="s">
        <v>43</v>
      </c>
      <c r="C24" s="49" t="s">
        <v>42</v>
      </c>
      <c r="D24" s="170"/>
      <c r="E24" s="51" t="s">
        <v>44</v>
      </c>
      <c r="F24" s="173"/>
      <c r="G24" s="52">
        <f t="shared" si="0"/>
        <v>0</v>
      </c>
      <c r="H24" s="176"/>
      <c r="I24" s="55">
        <f t="shared" si="1"/>
        <v>0</v>
      </c>
      <c r="J24" s="56">
        <f>I24*'Grand Total'!$E$22</f>
        <v>0</v>
      </c>
      <c r="L24" s="155" t="s">
        <v>157</v>
      </c>
    </row>
    <row r="25" spans="1:12" x14ac:dyDescent="0.2">
      <c r="A25" s="8"/>
      <c r="B25" s="48" t="s">
        <v>45</v>
      </c>
      <c r="C25" s="49" t="s">
        <v>42</v>
      </c>
      <c r="D25" s="170"/>
      <c r="E25" s="51" t="s">
        <v>46</v>
      </c>
      <c r="F25" s="173"/>
      <c r="G25" s="52">
        <f t="shared" si="0"/>
        <v>0</v>
      </c>
      <c r="H25" s="176"/>
      <c r="I25" s="55">
        <f t="shared" si="1"/>
        <v>0</v>
      </c>
      <c r="J25" s="56">
        <f>I25*'Grand Total'!$E$22</f>
        <v>0</v>
      </c>
      <c r="L25" s="155" t="s">
        <v>157</v>
      </c>
    </row>
    <row r="26" spans="1:12" x14ac:dyDescent="0.2">
      <c r="A26" s="8"/>
      <c r="B26" s="48" t="s">
        <v>47</v>
      </c>
      <c r="C26" s="49" t="s">
        <v>42</v>
      </c>
      <c r="D26" s="170"/>
      <c r="E26" s="51" t="s">
        <v>48</v>
      </c>
      <c r="F26" s="173"/>
      <c r="G26" s="52">
        <f t="shared" si="0"/>
        <v>0</v>
      </c>
      <c r="H26" s="176"/>
      <c r="I26" s="55">
        <f t="shared" si="1"/>
        <v>0</v>
      </c>
      <c r="J26" s="56">
        <f>I26*'Grand Total'!$E$22</f>
        <v>0</v>
      </c>
      <c r="L26" s="155" t="s">
        <v>157</v>
      </c>
    </row>
    <row r="27" spans="1:12" x14ac:dyDescent="0.2">
      <c r="A27" s="8"/>
      <c r="B27" s="48" t="s">
        <v>49</v>
      </c>
      <c r="C27" s="49" t="s">
        <v>50</v>
      </c>
      <c r="D27" s="169">
        <f>(D15+D18)*2</f>
        <v>64</v>
      </c>
      <c r="E27" s="51" t="s">
        <v>51</v>
      </c>
      <c r="F27" s="173">
        <v>30</v>
      </c>
      <c r="G27" s="52">
        <f>+D27*F27</f>
        <v>1920</v>
      </c>
      <c r="H27" s="176">
        <v>0.3</v>
      </c>
      <c r="I27" s="55">
        <f t="shared" si="1"/>
        <v>19.2</v>
      </c>
      <c r="J27" s="56">
        <f>I27*'Grand Total'!$E$22</f>
        <v>806.4</v>
      </c>
      <c r="L27" s="155" t="s">
        <v>157</v>
      </c>
    </row>
    <row r="28" spans="1:12" x14ac:dyDescent="0.2">
      <c r="A28" s="8"/>
      <c r="B28" s="48" t="s">
        <v>52</v>
      </c>
      <c r="C28" s="49" t="s">
        <v>20</v>
      </c>
      <c r="D28" s="169">
        <v>5</v>
      </c>
      <c r="E28" s="51" t="s">
        <v>53</v>
      </c>
      <c r="F28" s="173">
        <f>210*(1-ScontoListinoAllarme)</f>
        <v>210</v>
      </c>
      <c r="G28" s="52">
        <f>+D28*F28</f>
        <v>1050</v>
      </c>
      <c r="H28" s="176">
        <v>2</v>
      </c>
      <c r="I28" s="55">
        <f>H28*D28</f>
        <v>10</v>
      </c>
      <c r="J28" s="56">
        <f>I28*'Grand Total'!$E$22</f>
        <v>420</v>
      </c>
      <c r="L28" s="155" t="s">
        <v>157</v>
      </c>
    </row>
    <row r="29" spans="1:12" x14ac:dyDescent="0.2">
      <c r="A29" s="8"/>
      <c r="B29" s="48" t="s">
        <v>58</v>
      </c>
      <c r="C29" s="49" t="s">
        <v>42</v>
      </c>
      <c r="D29" s="170"/>
      <c r="E29" s="51" t="s">
        <v>54</v>
      </c>
      <c r="F29" s="173"/>
      <c r="G29" s="52">
        <f t="shared" si="0"/>
        <v>0</v>
      </c>
      <c r="H29" s="176"/>
      <c r="I29" s="55">
        <f t="shared" si="1"/>
        <v>0</v>
      </c>
      <c r="J29" s="56">
        <f>I29*'Grand Total'!$E$22</f>
        <v>0</v>
      </c>
      <c r="L29" s="155" t="s">
        <v>157</v>
      </c>
    </row>
    <row r="30" spans="1:12" x14ac:dyDescent="0.2">
      <c r="A30" s="8"/>
      <c r="B30" s="48" t="s">
        <v>57</v>
      </c>
      <c r="C30" s="49" t="s">
        <v>56</v>
      </c>
      <c r="D30" s="169">
        <v>77</v>
      </c>
      <c r="E30" s="51" t="s">
        <v>55</v>
      </c>
      <c r="F30" s="173">
        <f>20*(1-ScontoListinoAllarme)</f>
        <v>20</v>
      </c>
      <c r="G30" s="52">
        <f t="shared" si="0"/>
        <v>1540</v>
      </c>
      <c r="H30" s="176">
        <v>0.8</v>
      </c>
      <c r="I30" s="55">
        <f t="shared" si="1"/>
        <v>61.6</v>
      </c>
      <c r="J30" s="56">
        <f>I30*'Grand Total'!$E$22</f>
        <v>2587.2000000000003</v>
      </c>
      <c r="L30" s="155" t="s">
        <v>157</v>
      </c>
    </row>
    <row r="31" spans="1:12" x14ac:dyDescent="0.2">
      <c r="A31" s="8"/>
      <c r="B31" s="48" t="s">
        <v>59</v>
      </c>
      <c r="C31" s="49" t="s">
        <v>56</v>
      </c>
      <c r="D31" s="170"/>
      <c r="E31" s="51" t="s">
        <v>60</v>
      </c>
      <c r="F31" s="173"/>
      <c r="G31" s="52">
        <f t="shared" si="0"/>
        <v>0</v>
      </c>
      <c r="H31" s="176"/>
      <c r="I31" s="55">
        <f t="shared" si="1"/>
        <v>0</v>
      </c>
      <c r="J31" s="56">
        <f>I31*'Grand Total'!$E$22</f>
        <v>0</v>
      </c>
      <c r="L31" s="155" t="s">
        <v>157</v>
      </c>
    </row>
    <row r="32" spans="1:12" x14ac:dyDescent="0.2">
      <c r="A32" s="8"/>
      <c r="B32" s="48" t="s">
        <v>61</v>
      </c>
      <c r="C32" s="49" t="s">
        <v>56</v>
      </c>
      <c r="D32" s="169">
        <v>10</v>
      </c>
      <c r="E32" s="51" t="s">
        <v>62</v>
      </c>
      <c r="F32" s="173">
        <f>25*(1-ScontoListinoAllarme)</f>
        <v>25</v>
      </c>
      <c r="G32" s="52">
        <f t="shared" si="0"/>
        <v>250</v>
      </c>
      <c r="H32" s="176">
        <v>1.5</v>
      </c>
      <c r="I32" s="55">
        <f t="shared" si="1"/>
        <v>15</v>
      </c>
      <c r="J32" s="56">
        <f>I32*'Grand Total'!$E$22</f>
        <v>630</v>
      </c>
      <c r="L32" s="155" t="s">
        <v>157</v>
      </c>
    </row>
    <row r="33" spans="1:12" x14ac:dyDescent="0.2">
      <c r="A33" s="8"/>
      <c r="B33" s="48" t="s">
        <v>63</v>
      </c>
      <c r="C33" s="49" t="s">
        <v>42</v>
      </c>
      <c r="D33" s="169">
        <v>0</v>
      </c>
      <c r="E33" s="51" t="s">
        <v>64</v>
      </c>
      <c r="F33" s="174">
        <v>0</v>
      </c>
      <c r="G33" s="52">
        <f>+D33*F33</f>
        <v>0</v>
      </c>
      <c r="H33" s="176"/>
      <c r="I33" s="55">
        <f>H33*D33</f>
        <v>0</v>
      </c>
      <c r="J33" s="56">
        <f>I33*'Grand Total'!$E$22</f>
        <v>0</v>
      </c>
      <c r="L33" s="155" t="s">
        <v>157</v>
      </c>
    </row>
    <row r="34" spans="1:12" x14ac:dyDescent="0.2">
      <c r="A34" s="8"/>
      <c r="B34" s="48" t="s">
        <v>66</v>
      </c>
      <c r="C34" s="49" t="s">
        <v>42</v>
      </c>
      <c r="D34" s="169">
        <v>243</v>
      </c>
      <c r="E34" s="51" t="s">
        <v>65</v>
      </c>
      <c r="F34" s="174">
        <v>0</v>
      </c>
      <c r="G34" s="52">
        <f t="shared" si="0"/>
        <v>0</v>
      </c>
      <c r="H34" s="177">
        <v>0.5</v>
      </c>
      <c r="I34" s="55">
        <f t="shared" si="1"/>
        <v>121.5</v>
      </c>
      <c r="J34" s="56">
        <f>I34*'Grand Total'!$E$22</f>
        <v>5103</v>
      </c>
      <c r="L34" s="155" t="s">
        <v>157</v>
      </c>
    </row>
    <row r="35" spans="1:12" x14ac:dyDescent="0.2">
      <c r="A35" s="8"/>
      <c r="B35" s="48" t="s">
        <v>67</v>
      </c>
      <c r="C35" s="49" t="s">
        <v>42</v>
      </c>
      <c r="D35" s="170"/>
      <c r="E35" s="51" t="s">
        <v>68</v>
      </c>
      <c r="F35" s="173"/>
      <c r="G35" s="52">
        <f t="shared" si="0"/>
        <v>0</v>
      </c>
      <c r="H35" s="176"/>
      <c r="I35" s="55">
        <f t="shared" si="1"/>
        <v>0</v>
      </c>
      <c r="J35" s="56">
        <f>I35*'Grand Total'!$E$22</f>
        <v>0</v>
      </c>
      <c r="L35" s="155" t="s">
        <v>157</v>
      </c>
    </row>
    <row r="36" spans="1:12" x14ac:dyDescent="0.2">
      <c r="A36" s="8"/>
      <c r="B36" s="48" t="s">
        <v>70</v>
      </c>
      <c r="C36" s="49" t="s">
        <v>69</v>
      </c>
      <c r="D36" s="170"/>
      <c r="E36" s="51" t="s">
        <v>71</v>
      </c>
      <c r="F36" s="173"/>
      <c r="G36" s="52">
        <f t="shared" si="0"/>
        <v>0</v>
      </c>
      <c r="H36" s="176"/>
      <c r="I36" s="55">
        <f t="shared" si="1"/>
        <v>0</v>
      </c>
      <c r="J36" s="56">
        <f>I36*'Grand Total'!$E$22</f>
        <v>0</v>
      </c>
      <c r="L36" s="155" t="s">
        <v>157</v>
      </c>
    </row>
    <row r="37" spans="1:12" x14ac:dyDescent="0.2">
      <c r="A37" s="8"/>
      <c r="B37" s="48" t="s">
        <v>72</v>
      </c>
      <c r="C37" s="49" t="s">
        <v>69</v>
      </c>
      <c r="D37" s="170"/>
      <c r="E37" s="51" t="s">
        <v>73</v>
      </c>
      <c r="F37" s="173"/>
      <c r="G37" s="52">
        <f t="shared" si="0"/>
        <v>0</v>
      </c>
      <c r="H37" s="176"/>
      <c r="I37" s="55">
        <f t="shared" si="1"/>
        <v>0</v>
      </c>
      <c r="J37" s="56">
        <f>I37*'Grand Total'!$E$22</f>
        <v>0</v>
      </c>
      <c r="L37" s="155" t="s">
        <v>157</v>
      </c>
    </row>
    <row r="38" spans="1:12" x14ac:dyDescent="0.2">
      <c r="A38" s="8"/>
      <c r="B38" s="48" t="s">
        <v>74</v>
      </c>
      <c r="C38" s="49" t="s">
        <v>69</v>
      </c>
      <c r="D38" s="170"/>
      <c r="E38" s="51" t="s">
        <v>77</v>
      </c>
      <c r="F38" s="173"/>
      <c r="G38" s="52">
        <f t="shared" si="0"/>
        <v>0</v>
      </c>
      <c r="H38" s="176"/>
      <c r="I38" s="55">
        <f t="shared" si="1"/>
        <v>0</v>
      </c>
      <c r="J38" s="56">
        <f>I38*'Grand Total'!$E$22</f>
        <v>0</v>
      </c>
      <c r="L38" s="155" t="s">
        <v>157</v>
      </c>
    </row>
    <row r="39" spans="1:12" x14ac:dyDescent="0.2">
      <c r="A39" s="8"/>
      <c r="B39" s="48" t="s">
        <v>75</v>
      </c>
      <c r="C39" s="49" t="s">
        <v>69</v>
      </c>
      <c r="D39" s="169">
        <v>91</v>
      </c>
      <c r="E39" s="51" t="s">
        <v>76</v>
      </c>
      <c r="F39" s="173">
        <f>30*(1-ScontoListinoAllarme)</f>
        <v>30</v>
      </c>
      <c r="G39" s="52">
        <f t="shared" si="0"/>
        <v>2730</v>
      </c>
      <c r="H39" s="176">
        <v>2</v>
      </c>
      <c r="I39" s="55">
        <f t="shared" si="1"/>
        <v>182</v>
      </c>
      <c r="J39" s="56">
        <f>I39*'Grand Total'!$E$22</f>
        <v>7644</v>
      </c>
      <c r="L39" s="155" t="s">
        <v>157</v>
      </c>
    </row>
    <row r="40" spans="1:12" x14ac:dyDescent="0.2">
      <c r="A40" s="8"/>
      <c r="B40" s="171" t="s">
        <v>181</v>
      </c>
      <c r="C40" s="172" t="s">
        <v>20</v>
      </c>
      <c r="D40" s="169">
        <v>21</v>
      </c>
      <c r="E40" s="51" t="s">
        <v>149</v>
      </c>
      <c r="F40" s="173">
        <f>290*(1-ScontoListinoAllarme)</f>
        <v>290</v>
      </c>
      <c r="G40" s="52">
        <f t="shared" si="0"/>
        <v>6090</v>
      </c>
      <c r="H40" s="176">
        <v>2.5</v>
      </c>
      <c r="I40" s="55">
        <f t="shared" ref="I40" si="2">H40*D40</f>
        <v>52.5</v>
      </c>
      <c r="J40" s="56">
        <f>I40*'Grand Total'!$E$22</f>
        <v>2205</v>
      </c>
      <c r="L40" s="155" t="s">
        <v>157</v>
      </c>
    </row>
    <row r="41" spans="1:12" x14ac:dyDescent="0.2">
      <c r="A41" s="8"/>
      <c r="B41" s="48" t="s">
        <v>78</v>
      </c>
      <c r="C41" s="49" t="s">
        <v>20</v>
      </c>
      <c r="D41" s="170"/>
      <c r="E41" s="51" t="s">
        <v>79</v>
      </c>
      <c r="F41" s="85"/>
      <c r="G41" s="52">
        <f t="shared" si="0"/>
        <v>0</v>
      </c>
      <c r="H41" s="176"/>
      <c r="I41" s="55">
        <f t="shared" si="1"/>
        <v>0</v>
      </c>
      <c r="J41" s="56">
        <f>I41*'Grand Total'!$E$22</f>
        <v>0</v>
      </c>
      <c r="L41" s="155" t="s">
        <v>157</v>
      </c>
    </row>
    <row r="42" spans="1:12" x14ac:dyDescent="0.2">
      <c r="A42" s="8"/>
      <c r="B42" s="48" t="s">
        <v>80</v>
      </c>
      <c r="C42" s="49" t="s">
        <v>20</v>
      </c>
      <c r="D42" s="170"/>
      <c r="E42" s="51" t="s">
        <v>81</v>
      </c>
      <c r="F42" s="85"/>
      <c r="G42" s="52">
        <f t="shared" si="0"/>
        <v>0</v>
      </c>
      <c r="H42" s="176"/>
      <c r="I42" s="55">
        <f t="shared" si="1"/>
        <v>0</v>
      </c>
      <c r="J42" s="56">
        <f>I42*'Grand Total'!$E$22</f>
        <v>0</v>
      </c>
      <c r="L42" s="155" t="s">
        <v>157</v>
      </c>
    </row>
    <row r="43" spans="1:12" x14ac:dyDescent="0.2">
      <c r="A43" s="8"/>
      <c r="B43" s="48" t="s">
        <v>82</v>
      </c>
      <c r="C43" s="49" t="s">
        <v>20</v>
      </c>
      <c r="D43" s="170"/>
      <c r="E43" s="51" t="s">
        <v>83</v>
      </c>
      <c r="F43" s="85"/>
      <c r="G43" s="52">
        <f t="shared" si="0"/>
        <v>0</v>
      </c>
      <c r="H43" s="176"/>
      <c r="I43" s="55">
        <f t="shared" si="1"/>
        <v>0</v>
      </c>
      <c r="J43" s="56">
        <f>I43*'Grand Total'!$E$22</f>
        <v>0</v>
      </c>
      <c r="L43" s="155" t="s">
        <v>157</v>
      </c>
    </row>
    <row r="44" spans="1:12" x14ac:dyDescent="0.2">
      <c r="A44" s="8"/>
      <c r="B44" s="48" t="s">
        <v>84</v>
      </c>
      <c r="C44" s="49" t="s">
        <v>20</v>
      </c>
      <c r="D44" s="170"/>
      <c r="E44" s="51" t="s">
        <v>85</v>
      </c>
      <c r="F44" s="85"/>
      <c r="G44" s="52">
        <f t="shared" si="0"/>
        <v>0</v>
      </c>
      <c r="H44" s="176"/>
      <c r="I44" s="55">
        <f t="shared" si="1"/>
        <v>0</v>
      </c>
      <c r="J44" s="56">
        <f>I44*'Grand Total'!$E$22</f>
        <v>0</v>
      </c>
      <c r="L44" s="155" t="s">
        <v>157</v>
      </c>
    </row>
    <row r="45" spans="1:12" x14ac:dyDescent="0.2">
      <c r="A45" s="8"/>
      <c r="B45" s="58" t="s">
        <v>86</v>
      </c>
      <c r="C45" s="49" t="s">
        <v>20</v>
      </c>
      <c r="D45" s="170"/>
      <c r="E45" s="51" t="s">
        <v>87</v>
      </c>
      <c r="F45" s="85"/>
      <c r="G45" s="52">
        <f t="shared" si="0"/>
        <v>0</v>
      </c>
      <c r="H45" s="176"/>
      <c r="I45" s="55">
        <f t="shared" si="1"/>
        <v>0</v>
      </c>
      <c r="J45" s="56">
        <f>I45*'Grand Total'!$E$22</f>
        <v>0</v>
      </c>
      <c r="L45" s="155" t="s">
        <v>157</v>
      </c>
    </row>
    <row r="46" spans="1:12" x14ac:dyDescent="0.2">
      <c r="A46" s="8"/>
      <c r="B46" s="58" t="s">
        <v>88</v>
      </c>
      <c r="C46" s="49" t="s">
        <v>89</v>
      </c>
      <c r="D46" s="169">
        <v>1</v>
      </c>
      <c r="E46" s="51" t="s">
        <v>90</v>
      </c>
      <c r="F46" s="85"/>
      <c r="G46" s="52">
        <f t="shared" si="0"/>
        <v>0</v>
      </c>
      <c r="H46" s="176">
        <v>40</v>
      </c>
      <c r="I46" s="55">
        <f t="shared" si="1"/>
        <v>40</v>
      </c>
      <c r="J46" s="56">
        <f>I46*'Grand Total'!$E$22</f>
        <v>1680</v>
      </c>
      <c r="L46" s="155" t="s">
        <v>157</v>
      </c>
    </row>
    <row r="47" spans="1:12" x14ac:dyDescent="0.2">
      <c r="A47" s="8"/>
      <c r="B47" s="58" t="s">
        <v>88</v>
      </c>
      <c r="C47" s="49" t="s">
        <v>89</v>
      </c>
      <c r="D47" s="169">
        <v>1</v>
      </c>
      <c r="E47" s="51" t="s">
        <v>91</v>
      </c>
      <c r="F47" s="85"/>
      <c r="G47" s="52">
        <f t="shared" si="0"/>
        <v>0</v>
      </c>
      <c r="H47" s="176">
        <v>25</v>
      </c>
      <c r="I47" s="55">
        <f t="shared" si="1"/>
        <v>25</v>
      </c>
      <c r="J47" s="56">
        <f>I47*'Grand Total'!$E$22</f>
        <v>1050</v>
      </c>
      <c r="L47" s="155" t="s">
        <v>157</v>
      </c>
    </row>
    <row r="48" spans="1:12" x14ac:dyDescent="0.2">
      <c r="A48" s="8"/>
      <c r="B48" s="58" t="s">
        <v>88</v>
      </c>
      <c r="C48" s="49" t="s">
        <v>89</v>
      </c>
      <c r="D48" s="169">
        <v>1</v>
      </c>
      <c r="E48" s="51" t="s">
        <v>92</v>
      </c>
      <c r="F48" s="85"/>
      <c r="G48" s="52">
        <f>+D48*F48</f>
        <v>0</v>
      </c>
      <c r="H48" s="176">
        <v>16</v>
      </c>
      <c r="I48" s="55">
        <f>H48*D48</f>
        <v>16</v>
      </c>
      <c r="J48" s="56">
        <f>I48*'Grand Total'!$E$22</f>
        <v>672</v>
      </c>
      <c r="L48" s="155" t="s">
        <v>157</v>
      </c>
    </row>
    <row r="49" spans="1:17" x14ac:dyDescent="0.2">
      <c r="A49" s="8"/>
      <c r="B49" s="58"/>
      <c r="C49" s="49"/>
      <c r="D49" s="169">
        <v>1</v>
      </c>
      <c r="E49" s="51" t="s">
        <v>134</v>
      </c>
      <c r="F49" s="85"/>
      <c r="G49" s="52">
        <f t="shared" ref="G49:G52" si="3">+D49*F49</f>
        <v>0</v>
      </c>
      <c r="H49" s="176">
        <v>36</v>
      </c>
      <c r="I49" s="55">
        <f t="shared" ref="I49:I52" si="4">H49*D49</f>
        <v>36</v>
      </c>
      <c r="J49" s="56">
        <f>I49*'Grand Total'!$E$22</f>
        <v>1512</v>
      </c>
      <c r="L49" s="155" t="s">
        <v>157</v>
      </c>
    </row>
    <row r="50" spans="1:17" x14ac:dyDescent="0.2">
      <c r="A50" s="8"/>
      <c r="B50" s="58"/>
      <c r="C50" s="49"/>
      <c r="D50" s="127"/>
      <c r="E50" s="51"/>
      <c r="F50" s="85"/>
      <c r="G50" s="52">
        <f t="shared" si="3"/>
        <v>0</v>
      </c>
      <c r="H50" s="87"/>
      <c r="I50" s="55">
        <f t="shared" si="4"/>
        <v>0</v>
      </c>
      <c r="J50" s="56">
        <f>I50*'Grand Total'!$E$22</f>
        <v>0</v>
      </c>
      <c r="L50" s="155" t="s">
        <v>157</v>
      </c>
    </row>
    <row r="51" spans="1:17" x14ac:dyDescent="0.2">
      <c r="A51" s="8"/>
      <c r="B51" s="58"/>
      <c r="C51" s="49"/>
      <c r="D51" s="127"/>
      <c r="E51" s="51"/>
      <c r="F51" s="85"/>
      <c r="G51" s="52">
        <f t="shared" si="3"/>
        <v>0</v>
      </c>
      <c r="H51" s="87"/>
      <c r="I51" s="55">
        <f t="shared" si="4"/>
        <v>0</v>
      </c>
      <c r="J51" s="56">
        <f>I51*'Grand Total'!$E$22</f>
        <v>0</v>
      </c>
      <c r="L51" s="155" t="s">
        <v>157</v>
      </c>
    </row>
    <row r="52" spans="1:17" x14ac:dyDescent="0.2">
      <c r="A52" s="8"/>
      <c r="B52" s="58"/>
      <c r="C52" s="49"/>
      <c r="D52" s="127"/>
      <c r="E52" s="168" t="s">
        <v>174</v>
      </c>
      <c r="F52" s="85"/>
      <c r="G52" s="52">
        <f t="shared" si="3"/>
        <v>0</v>
      </c>
      <c r="H52" s="87"/>
      <c r="I52" s="55">
        <f t="shared" si="4"/>
        <v>0</v>
      </c>
      <c r="J52" s="56">
        <f>I52*'Grand Total'!$E$22</f>
        <v>0</v>
      </c>
      <c r="L52" s="155" t="s">
        <v>157</v>
      </c>
    </row>
    <row r="53" spans="1:17" ht="13.5" thickBot="1" x14ac:dyDescent="0.25">
      <c r="A53" s="8"/>
      <c r="B53" s="58"/>
      <c r="C53" s="49"/>
      <c r="D53" s="50"/>
      <c r="E53" s="60" t="s">
        <v>152</v>
      </c>
      <c r="F53" s="61"/>
      <c r="G53" s="119"/>
      <c r="H53" s="59"/>
      <c r="I53" s="55"/>
      <c r="J53" s="55"/>
    </row>
    <row r="54" spans="1:17" s="4" customFormat="1" ht="13.5" thickBot="1" x14ac:dyDescent="0.25">
      <c r="A54" s="62"/>
      <c r="B54" s="63"/>
      <c r="C54" s="64"/>
      <c r="D54" s="64"/>
      <c r="E54" s="65" t="s">
        <v>13</v>
      </c>
      <c r="F54" s="66"/>
      <c r="G54" s="67"/>
      <c r="H54" s="68"/>
      <c r="I54" s="69"/>
      <c r="J54" s="70">
        <f>SUM(G15:G52)+SUM(J15:J52)</f>
        <v>80125.600000000006</v>
      </c>
      <c r="L54" s="164" t="s">
        <v>168</v>
      </c>
      <c r="M54" s="164"/>
      <c r="N54" s="164"/>
      <c r="O54" s="164"/>
      <c r="P54" s="164"/>
      <c r="Q54" s="164"/>
    </row>
    <row r="55" spans="1:17" ht="36" customHeight="1" thickBot="1" x14ac:dyDescent="0.25">
      <c r="A55" s="8"/>
      <c r="B55" s="71"/>
      <c r="C55" s="71"/>
      <c r="D55" s="71"/>
      <c r="E55" s="72"/>
      <c r="F55" s="73"/>
      <c r="G55" s="74"/>
      <c r="H55" s="75"/>
      <c r="I55" s="76"/>
      <c r="J55" s="76"/>
    </row>
    <row r="56" spans="1:17" ht="45.75" thickBot="1" x14ac:dyDescent="0.25">
      <c r="A56" s="8"/>
      <c r="B56" s="44" t="s">
        <v>2</v>
      </c>
      <c r="C56" s="44" t="s">
        <v>3</v>
      </c>
      <c r="D56" s="77" t="s">
        <v>1</v>
      </c>
      <c r="E56" s="45" t="s">
        <v>93</v>
      </c>
      <c r="F56" s="46" t="s">
        <v>130</v>
      </c>
      <c r="G56" s="46" t="s">
        <v>12</v>
      </c>
      <c r="H56" s="121" t="s">
        <v>9</v>
      </c>
      <c r="I56" s="121" t="s">
        <v>10</v>
      </c>
      <c r="J56" s="121" t="s">
        <v>11</v>
      </c>
    </row>
    <row r="57" spans="1:17" x14ac:dyDescent="0.2">
      <c r="A57" s="8"/>
      <c r="B57" s="58"/>
      <c r="C57" s="49"/>
      <c r="D57" s="127"/>
      <c r="E57" s="51"/>
      <c r="F57" s="85"/>
      <c r="G57" s="120">
        <f>+D57*F57</f>
        <v>0</v>
      </c>
      <c r="H57" s="86"/>
      <c r="I57" s="53">
        <f>H57*D57</f>
        <v>0</v>
      </c>
      <c r="J57" s="54">
        <f>I57*'Grand Total'!$E$22</f>
        <v>0</v>
      </c>
    </row>
    <row r="58" spans="1:17" x14ac:dyDescent="0.2">
      <c r="A58" s="8"/>
      <c r="B58" s="58"/>
      <c r="C58" s="49"/>
      <c r="D58" s="127"/>
      <c r="E58" s="51"/>
      <c r="F58" s="85"/>
      <c r="G58" s="120">
        <f t="shared" ref="G58:G65" si="5">+D58*F58</f>
        <v>0</v>
      </c>
      <c r="H58" s="87"/>
      <c r="I58" s="55">
        <f t="shared" ref="I58:I65" si="6">H58*D58</f>
        <v>0</v>
      </c>
      <c r="J58" s="56">
        <f>I58*'Grand Total'!$E$22</f>
        <v>0</v>
      </c>
    </row>
    <row r="59" spans="1:17" x14ac:dyDescent="0.2">
      <c r="A59" s="8"/>
      <c r="B59" s="58"/>
      <c r="C59" s="49"/>
      <c r="D59" s="127"/>
      <c r="E59" s="51"/>
      <c r="F59" s="85"/>
      <c r="G59" s="120">
        <f>+D59*F59</f>
        <v>0</v>
      </c>
      <c r="H59" s="87"/>
      <c r="I59" s="55">
        <f>H59*D59</f>
        <v>0</v>
      </c>
      <c r="J59" s="56">
        <f>I59*'Grand Total'!$E$22</f>
        <v>0</v>
      </c>
    </row>
    <row r="60" spans="1:17" x14ac:dyDescent="0.2">
      <c r="A60" s="8"/>
      <c r="B60" s="58"/>
      <c r="C60" s="49"/>
      <c r="D60" s="127"/>
      <c r="E60" s="57"/>
      <c r="F60" s="85"/>
      <c r="G60" s="120">
        <f>+D60*F60</f>
        <v>0</v>
      </c>
      <c r="H60" s="87"/>
      <c r="I60" s="55">
        <f>H60*D60</f>
        <v>0</v>
      </c>
      <c r="J60" s="56">
        <f>I60*'Grand Total'!$E$22</f>
        <v>0</v>
      </c>
    </row>
    <row r="61" spans="1:17" x14ac:dyDescent="0.2">
      <c r="A61" s="8"/>
      <c r="B61" s="126"/>
      <c r="C61" s="49"/>
      <c r="D61" s="127"/>
      <c r="E61" s="51"/>
      <c r="F61" s="85"/>
      <c r="G61" s="120">
        <f t="shared" si="5"/>
        <v>0</v>
      </c>
      <c r="H61" s="87"/>
      <c r="I61" s="55">
        <f t="shared" si="6"/>
        <v>0</v>
      </c>
      <c r="J61" s="56">
        <f>I61*'Grand Total'!$E$22</f>
        <v>0</v>
      </c>
    </row>
    <row r="62" spans="1:17" x14ac:dyDescent="0.2">
      <c r="A62" s="8"/>
      <c r="B62" s="58"/>
      <c r="C62" s="49"/>
      <c r="D62" s="127"/>
      <c r="E62" s="51"/>
      <c r="F62" s="85"/>
      <c r="G62" s="120">
        <f t="shared" si="5"/>
        <v>0</v>
      </c>
      <c r="H62" s="87"/>
      <c r="I62" s="55">
        <f t="shared" si="6"/>
        <v>0</v>
      </c>
      <c r="J62" s="56">
        <f>I62*'Grand Total'!$E$22</f>
        <v>0</v>
      </c>
    </row>
    <row r="63" spans="1:17" x14ac:dyDescent="0.2">
      <c r="A63" s="8"/>
      <c r="B63" s="58"/>
      <c r="C63" s="49"/>
      <c r="D63" s="127"/>
      <c r="E63" s="51"/>
      <c r="F63" s="85"/>
      <c r="G63" s="120">
        <f t="shared" si="5"/>
        <v>0</v>
      </c>
      <c r="H63" s="87"/>
      <c r="I63" s="55">
        <f t="shared" si="6"/>
        <v>0</v>
      </c>
      <c r="J63" s="56">
        <f>I63*'Grand Total'!$E$22</f>
        <v>0</v>
      </c>
    </row>
    <row r="64" spans="1:17" x14ac:dyDescent="0.2">
      <c r="A64" s="8"/>
      <c r="B64" s="58"/>
      <c r="C64" s="49"/>
      <c r="D64" s="127"/>
      <c r="E64" s="51"/>
      <c r="F64" s="85"/>
      <c r="G64" s="120">
        <f t="shared" si="5"/>
        <v>0</v>
      </c>
      <c r="H64" s="87"/>
      <c r="I64" s="55">
        <f t="shared" si="6"/>
        <v>0</v>
      </c>
      <c r="J64" s="56">
        <f>I64*'Grand Total'!$E$22</f>
        <v>0</v>
      </c>
    </row>
    <row r="65" spans="1:10" x14ac:dyDescent="0.2">
      <c r="A65" s="8"/>
      <c r="B65" s="48"/>
      <c r="C65" s="49"/>
      <c r="D65" s="127"/>
      <c r="E65" s="51"/>
      <c r="F65" s="85"/>
      <c r="G65" s="120">
        <f t="shared" si="5"/>
        <v>0</v>
      </c>
      <c r="H65" s="87"/>
      <c r="I65" s="55">
        <f t="shared" si="6"/>
        <v>0</v>
      </c>
      <c r="J65" s="56">
        <f>I65*'Grand Total'!$E$22</f>
        <v>0</v>
      </c>
    </row>
    <row r="66" spans="1:10" ht="13.5" thickBot="1" x14ac:dyDescent="0.25">
      <c r="A66" s="8"/>
      <c r="B66" s="58"/>
      <c r="C66" s="49"/>
      <c r="D66" s="49"/>
      <c r="E66" s="78"/>
      <c r="F66" s="79"/>
      <c r="G66" s="122"/>
      <c r="H66" s="59"/>
      <c r="I66" s="55"/>
      <c r="J66" s="97"/>
    </row>
    <row r="67" spans="1:10" ht="13.5" thickBot="1" x14ac:dyDescent="0.25">
      <c r="A67" s="8"/>
      <c r="B67" s="80"/>
      <c r="C67" s="81"/>
      <c r="D67" s="81"/>
      <c r="E67" s="82" t="s">
        <v>14</v>
      </c>
      <c r="F67" s="83"/>
      <c r="G67" s="123"/>
      <c r="H67" s="124"/>
      <c r="I67" s="124"/>
      <c r="J67" s="125">
        <f>SUM(G57:G65)+SUM(J57:J65)</f>
        <v>0</v>
      </c>
    </row>
    <row r="68" spans="1:10" ht="15.75" x14ac:dyDescent="0.25">
      <c r="A68" s="8"/>
      <c r="B68" s="84"/>
      <c r="C68" s="84"/>
      <c r="D68" s="84"/>
      <c r="E68" s="8"/>
      <c r="F68" s="23"/>
      <c r="G68" s="23"/>
      <c r="H68" s="43"/>
      <c r="I68" s="8"/>
      <c r="J68" s="8"/>
    </row>
    <row r="69" spans="1:10" x14ac:dyDescent="0.2">
      <c r="E69" s="6"/>
      <c r="F69" s="114"/>
      <c r="G69" s="114"/>
      <c r="H69" s="43"/>
    </row>
    <row r="70" spans="1:10" x14ac:dyDescent="0.2">
      <c r="B70" s="1"/>
      <c r="C70" s="1"/>
      <c r="D70" s="1"/>
      <c r="E70" s="19"/>
      <c r="F70" s="115"/>
      <c r="G70" s="112"/>
      <c r="H70" s="43"/>
    </row>
    <row r="71" spans="1:10" x14ac:dyDescent="0.2">
      <c r="E71" s="20"/>
      <c r="F71" s="114"/>
      <c r="G71" s="112"/>
      <c r="H71" s="43"/>
    </row>
    <row r="72" spans="1:10" x14ac:dyDescent="0.2">
      <c r="F72" s="23"/>
      <c r="G72" s="23"/>
      <c r="H72" s="43"/>
    </row>
    <row r="73" spans="1:10" x14ac:dyDescent="0.2">
      <c r="F73" s="23"/>
      <c r="G73" s="23"/>
      <c r="H73" s="43"/>
    </row>
    <row r="74" spans="1:10" x14ac:dyDescent="0.2">
      <c r="F74" s="23"/>
      <c r="G74" s="23"/>
      <c r="H74" s="43"/>
    </row>
    <row r="75" spans="1:10" x14ac:dyDescent="0.2">
      <c r="F75" s="23"/>
      <c r="G75" s="23"/>
      <c r="H75" s="43"/>
    </row>
    <row r="76" spans="1:10" x14ac:dyDescent="0.2">
      <c r="F76" s="23"/>
      <c r="G76" s="23"/>
      <c r="H76" s="43"/>
    </row>
    <row r="77" spans="1:10" x14ac:dyDescent="0.2">
      <c r="F77" s="23"/>
      <c r="G77" s="23"/>
      <c r="H77" s="43"/>
    </row>
    <row r="78" spans="1:10" x14ac:dyDescent="0.2">
      <c r="F78" s="23"/>
      <c r="G78" s="23"/>
      <c r="H78" s="43"/>
    </row>
  </sheetData>
  <sheetProtection selectLockedCells="1"/>
  <customSheetViews>
    <customSheetView guid="{3E842511-23E9-411A-81C3-49DA0CD0D1AF}" fitToPage="1">
      <selection activeCell="I42" sqref="I42"/>
      <pageMargins left="0.75" right="0.75" top="1" bottom="1" header="0.5" footer="0.5"/>
      <pageSetup scale="75" orientation="landscape" r:id="rId1"/>
      <headerFooter alignWithMargins="0"/>
    </customSheetView>
  </customSheetViews>
  <mergeCells count="6">
    <mergeCell ref="E5:G5"/>
    <mergeCell ref="E6:G6"/>
    <mergeCell ref="E1:G1"/>
    <mergeCell ref="E2:G2"/>
    <mergeCell ref="E3:G3"/>
    <mergeCell ref="E4:G4"/>
  </mergeCells>
  <phoneticPr fontId="8" type="noConversion"/>
  <pageMargins left="1.7322834645669292" right="0.74803149606299213" top="0.39370078740157483" bottom="0.39370078740157483" header="0" footer="0"/>
  <pageSetup scale="73"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4"/>
  <sheetViews>
    <sheetView topLeftCell="A27" zoomScaleNormal="100" workbookViewId="0">
      <selection activeCell="L54" sqref="L54"/>
    </sheetView>
  </sheetViews>
  <sheetFormatPr defaultColWidth="11.42578125" defaultRowHeight="12.75" x14ac:dyDescent="0.2"/>
  <cols>
    <col min="1" max="1" width="3.7109375" customWidth="1"/>
    <col min="2" max="3" width="11.7109375" customWidth="1"/>
    <col min="4" max="4" width="6.7109375" customWidth="1"/>
    <col min="5" max="5" width="60.7109375" customWidth="1"/>
    <col min="6" max="7" width="17.140625" style="22" customWidth="1"/>
    <col min="8" max="8" width="10.7109375" customWidth="1"/>
    <col min="9" max="9" width="9.85546875" customWidth="1"/>
    <col min="10" max="10" width="15.7109375" customWidth="1"/>
  </cols>
  <sheetData>
    <row r="1" spans="1:21" x14ac:dyDescent="0.2">
      <c r="A1" s="8"/>
      <c r="B1" s="8"/>
      <c r="C1" s="8"/>
      <c r="D1" s="8"/>
      <c r="E1" s="213" t="str">
        <f>'Grand Total'!D1</f>
        <v>Zalando Quotation sheet Template</v>
      </c>
      <c r="F1" s="207"/>
      <c r="G1" s="208"/>
      <c r="H1" s="8"/>
      <c r="I1" s="8"/>
      <c r="J1" s="8"/>
    </row>
    <row r="2" spans="1:21" ht="21" customHeight="1" x14ac:dyDescent="0.25">
      <c r="A2" s="8"/>
      <c r="B2" s="9"/>
      <c r="C2" s="9"/>
      <c r="D2" s="9"/>
      <c r="E2" s="209"/>
      <c r="F2" s="201"/>
      <c r="G2" s="202"/>
      <c r="H2" s="8"/>
      <c r="I2" s="8"/>
      <c r="J2" s="8"/>
    </row>
    <row r="3" spans="1:21" ht="12.75" customHeight="1" x14ac:dyDescent="0.2">
      <c r="A3" s="8"/>
      <c r="B3" s="8"/>
      <c r="C3" s="8"/>
      <c r="D3" s="8"/>
      <c r="E3" s="200" t="str">
        <f>'Grand Total'!D3</f>
        <v>QUOTATION ZALANDO GF6 Verona Italy</v>
      </c>
      <c r="F3" s="214"/>
      <c r="G3" s="215"/>
      <c r="H3" s="8"/>
      <c r="I3" s="8"/>
      <c r="J3" s="8"/>
    </row>
    <row r="4" spans="1:21" ht="18" x14ac:dyDescent="0.25">
      <c r="A4" s="8"/>
      <c r="B4" s="10"/>
      <c r="C4" s="10"/>
      <c r="D4" s="10"/>
      <c r="E4" s="200"/>
      <c r="F4" s="201"/>
      <c r="G4" s="202"/>
      <c r="H4" s="8"/>
      <c r="I4" s="8"/>
      <c r="J4" s="8"/>
    </row>
    <row r="5" spans="1:21" x14ac:dyDescent="0.2">
      <c r="A5" s="8"/>
      <c r="B5" s="11"/>
      <c r="C5" s="11"/>
      <c r="D5" s="11"/>
      <c r="E5" s="200" t="str">
        <f>'Grand Total'!D7</f>
        <v>Date: 17-6-2019</v>
      </c>
      <c r="F5" s="201"/>
      <c r="G5" s="202"/>
      <c r="H5" s="8"/>
      <c r="I5" s="8"/>
      <c r="J5" s="8"/>
    </row>
    <row r="6" spans="1:21" ht="13.5" thickBot="1" x14ac:dyDescent="0.25">
      <c r="A6" s="8"/>
      <c r="B6" s="11"/>
      <c r="C6" s="11"/>
      <c r="D6" s="11"/>
      <c r="E6" s="210"/>
      <c r="F6" s="211"/>
      <c r="G6" s="212"/>
      <c r="H6" s="8"/>
      <c r="I6" s="8"/>
      <c r="J6" s="8"/>
    </row>
    <row r="7" spans="1:21" x14ac:dyDescent="0.2">
      <c r="A7" s="8"/>
      <c r="B7" s="11"/>
      <c r="C7" s="11"/>
      <c r="D7" s="11"/>
      <c r="E7" s="17"/>
      <c r="F7" s="23"/>
      <c r="G7" s="23"/>
      <c r="H7" s="8"/>
      <c r="I7" s="8"/>
      <c r="J7" s="8"/>
    </row>
    <row r="8" spans="1:21" x14ac:dyDescent="0.2">
      <c r="A8" s="8"/>
      <c r="B8" s="11"/>
      <c r="C8" s="11"/>
      <c r="D8" s="11"/>
      <c r="E8" s="165" t="s">
        <v>171</v>
      </c>
      <c r="F8" s="166"/>
      <c r="G8" s="23"/>
      <c r="H8" s="8"/>
      <c r="I8" s="8"/>
      <c r="J8" s="8"/>
    </row>
    <row r="9" spans="1:21" x14ac:dyDescent="0.2">
      <c r="A9" s="8"/>
      <c r="B9" s="11"/>
      <c r="C9" s="11"/>
      <c r="D9" s="11"/>
      <c r="E9" s="165" t="s">
        <v>172</v>
      </c>
      <c r="F9" s="166"/>
      <c r="G9" s="23"/>
      <c r="H9" s="8"/>
      <c r="I9" s="8"/>
      <c r="J9" s="8"/>
    </row>
    <row r="10" spans="1:21" x14ac:dyDescent="0.2">
      <c r="A10" s="8"/>
      <c r="B10" s="11"/>
      <c r="C10" s="11"/>
      <c r="D10" s="11"/>
      <c r="E10" s="165" t="s">
        <v>175</v>
      </c>
      <c r="F10" s="166"/>
      <c r="G10" s="23"/>
      <c r="H10" s="8"/>
      <c r="I10" s="8"/>
      <c r="J10" s="8"/>
    </row>
    <row r="11" spans="1:21" x14ac:dyDescent="0.2">
      <c r="A11" s="8"/>
      <c r="B11" s="11"/>
      <c r="C11" s="11"/>
      <c r="D11" s="11"/>
      <c r="E11" s="17"/>
      <c r="F11" s="23"/>
      <c r="G11" s="23"/>
      <c r="H11" s="8"/>
      <c r="I11" s="8"/>
      <c r="J11" s="8"/>
    </row>
    <row r="12" spans="1:21" x14ac:dyDescent="0.2">
      <c r="A12" s="8"/>
      <c r="B12" s="11"/>
      <c r="C12" s="11"/>
      <c r="D12" s="156" t="s">
        <v>159</v>
      </c>
      <c r="E12" s="8"/>
      <c r="F12" s="157" t="s">
        <v>160</v>
      </c>
      <c r="G12" s="23"/>
      <c r="H12" s="158" t="s">
        <v>161</v>
      </c>
      <c r="I12" s="8"/>
      <c r="J12" s="8"/>
    </row>
    <row r="13" spans="1:21" x14ac:dyDescent="0.2">
      <c r="A13" s="8"/>
      <c r="B13" s="11"/>
      <c r="C13" s="11"/>
      <c r="D13" s="161" t="s">
        <v>163</v>
      </c>
      <c r="E13" s="161"/>
      <c r="F13" s="162" t="s">
        <v>163</v>
      </c>
      <c r="G13" s="162"/>
      <c r="H13" s="160" t="s">
        <v>163</v>
      </c>
      <c r="I13" s="8"/>
      <c r="J13" s="8"/>
    </row>
    <row r="14" spans="1:21" ht="13.5" thickBot="1" x14ac:dyDescent="0.25">
      <c r="A14" s="8"/>
      <c r="B14" s="12"/>
      <c r="C14" s="12"/>
      <c r="D14" s="12" t="s">
        <v>162</v>
      </c>
      <c r="E14" s="12"/>
      <c r="F14" s="163" t="s">
        <v>162</v>
      </c>
      <c r="G14" s="157" t="s">
        <v>165</v>
      </c>
      <c r="H14" s="159" t="s">
        <v>162</v>
      </c>
      <c r="I14" s="156" t="s">
        <v>164</v>
      </c>
      <c r="J14" s="156" t="s">
        <v>164</v>
      </c>
    </row>
    <row r="15" spans="1:21" ht="36" customHeight="1" thickBot="1" x14ac:dyDescent="0.25">
      <c r="A15" s="8"/>
      <c r="B15" s="44" t="s">
        <v>2</v>
      </c>
      <c r="C15" s="44" t="s">
        <v>3</v>
      </c>
      <c r="D15" s="44" t="s">
        <v>1</v>
      </c>
      <c r="E15" s="45" t="s">
        <v>5</v>
      </c>
      <c r="F15" s="46" t="s">
        <v>130</v>
      </c>
      <c r="G15" s="46" t="s">
        <v>12</v>
      </c>
      <c r="H15" s="47" t="s">
        <v>9</v>
      </c>
      <c r="I15" s="47" t="s">
        <v>10</v>
      </c>
      <c r="J15" s="47" t="s">
        <v>11</v>
      </c>
    </row>
    <row r="16" spans="1:21" x14ac:dyDescent="0.2">
      <c r="A16" s="8"/>
      <c r="B16" s="191" t="s">
        <v>105</v>
      </c>
      <c r="C16" s="179" t="s">
        <v>112</v>
      </c>
      <c r="D16" s="196"/>
      <c r="E16" s="135" t="s">
        <v>115</v>
      </c>
      <c r="F16" s="173"/>
      <c r="G16" s="52">
        <f t="shared" ref="G16:G45" si="0">+D16*F16</f>
        <v>0</v>
      </c>
      <c r="H16" s="197"/>
      <c r="I16" s="53">
        <f t="shared" ref="I16:I45" si="1">H16*D16</f>
        <v>0</v>
      </c>
      <c r="J16" s="54">
        <f>I16*'Grand Total'!$E$22</f>
        <v>0</v>
      </c>
      <c r="K16" s="155" t="s">
        <v>166</v>
      </c>
      <c r="L16" s="153" t="s">
        <v>167</v>
      </c>
      <c r="M16" s="153"/>
      <c r="N16" s="153"/>
      <c r="O16" s="153"/>
      <c r="P16" s="153"/>
      <c r="Q16" s="153"/>
      <c r="R16" s="153"/>
      <c r="S16" s="153"/>
      <c r="T16" s="153"/>
      <c r="U16" s="150"/>
    </row>
    <row r="17" spans="1:19" x14ac:dyDescent="0.2">
      <c r="A17" s="8"/>
      <c r="B17" s="191" t="s">
        <v>106</v>
      </c>
      <c r="C17" s="179" t="s">
        <v>112</v>
      </c>
      <c r="D17" s="196"/>
      <c r="E17" s="113" t="s">
        <v>116</v>
      </c>
      <c r="F17" s="173"/>
      <c r="G17" s="52">
        <f t="shared" si="0"/>
        <v>0</v>
      </c>
      <c r="H17" s="183"/>
      <c r="I17" s="55">
        <f t="shared" si="1"/>
        <v>0</v>
      </c>
      <c r="J17" s="56">
        <f>I17*'Grand Total'!$E$22</f>
        <v>0</v>
      </c>
      <c r="L17" s="155" t="s">
        <v>157</v>
      </c>
    </row>
    <row r="18" spans="1:19" x14ac:dyDescent="0.2">
      <c r="A18" s="8"/>
      <c r="B18" s="191" t="s">
        <v>107</v>
      </c>
      <c r="C18" s="179" t="s">
        <v>112</v>
      </c>
      <c r="D18" s="180">
        <v>0</v>
      </c>
      <c r="E18" s="136" t="s">
        <v>117</v>
      </c>
      <c r="F18" s="173">
        <f>265*(1-ScontoListinoTVCC)</f>
        <v>265</v>
      </c>
      <c r="G18" s="52">
        <f t="shared" si="0"/>
        <v>0</v>
      </c>
      <c r="H18" s="183">
        <v>4</v>
      </c>
      <c r="I18" s="55">
        <f t="shared" si="1"/>
        <v>0</v>
      </c>
      <c r="J18" s="56">
        <f>I18*'Grand Total'!$E$22</f>
        <v>0</v>
      </c>
      <c r="L18" s="155" t="s">
        <v>157</v>
      </c>
    </row>
    <row r="19" spans="1:19" ht="33.75" x14ac:dyDescent="0.2">
      <c r="A19" s="8"/>
      <c r="B19" s="178" t="s">
        <v>182</v>
      </c>
      <c r="C19" s="179" t="s">
        <v>112</v>
      </c>
      <c r="D19" s="180">
        <v>130</v>
      </c>
      <c r="E19" s="181" t="s">
        <v>183</v>
      </c>
      <c r="F19" s="173">
        <v>370</v>
      </c>
      <c r="G19" s="182">
        <f t="shared" si="0"/>
        <v>48100</v>
      </c>
      <c r="H19" s="183">
        <v>4</v>
      </c>
      <c r="I19" s="184">
        <f t="shared" si="1"/>
        <v>520</v>
      </c>
      <c r="J19" s="185">
        <f>I19*'[1]Grand Total'!$E$22</f>
        <v>21840</v>
      </c>
      <c r="L19" s="155"/>
    </row>
    <row r="20" spans="1:19" x14ac:dyDescent="0.2">
      <c r="A20" s="8"/>
      <c r="B20" s="192" t="s">
        <v>108</v>
      </c>
      <c r="C20" s="179" t="s">
        <v>112</v>
      </c>
      <c r="D20" s="196"/>
      <c r="E20" s="136" t="s">
        <v>118</v>
      </c>
      <c r="F20" s="173"/>
      <c r="G20" s="52">
        <f t="shared" si="0"/>
        <v>0</v>
      </c>
      <c r="H20" s="183"/>
      <c r="I20" s="55">
        <f t="shared" si="1"/>
        <v>0</v>
      </c>
      <c r="J20" s="56">
        <f>I20*'Grand Total'!$E$22</f>
        <v>0</v>
      </c>
      <c r="L20" s="155" t="s">
        <v>157</v>
      </c>
    </row>
    <row r="21" spans="1:19" x14ac:dyDescent="0.2">
      <c r="A21" s="8"/>
      <c r="B21" s="191" t="s">
        <v>109</v>
      </c>
      <c r="C21" s="179" t="s">
        <v>112</v>
      </c>
      <c r="D21" s="196"/>
      <c r="E21" s="136" t="s">
        <v>119</v>
      </c>
      <c r="F21" s="173"/>
      <c r="G21" s="52">
        <f t="shared" si="0"/>
        <v>0</v>
      </c>
      <c r="H21" s="183"/>
      <c r="I21" s="55">
        <f t="shared" si="1"/>
        <v>0</v>
      </c>
      <c r="J21" s="56">
        <f>I21*'Grand Total'!$E$22</f>
        <v>0</v>
      </c>
      <c r="L21" s="155" t="s">
        <v>157</v>
      </c>
    </row>
    <row r="22" spans="1:19" x14ac:dyDescent="0.2">
      <c r="A22" s="8"/>
      <c r="B22" s="191" t="s">
        <v>110</v>
      </c>
      <c r="C22" s="179" t="s">
        <v>112</v>
      </c>
      <c r="D22" s="196"/>
      <c r="E22" s="136" t="s">
        <v>120</v>
      </c>
      <c r="F22" s="173"/>
      <c r="G22" s="52">
        <f t="shared" si="0"/>
        <v>0</v>
      </c>
      <c r="H22" s="183"/>
      <c r="I22" s="55">
        <f t="shared" si="1"/>
        <v>0</v>
      </c>
      <c r="J22" s="56">
        <f>I22*'Grand Total'!$E$22</f>
        <v>0</v>
      </c>
      <c r="L22" s="155" t="s">
        <v>157</v>
      </c>
    </row>
    <row r="23" spans="1:19" x14ac:dyDescent="0.2">
      <c r="A23" s="8"/>
      <c r="B23" s="191" t="s">
        <v>111</v>
      </c>
      <c r="C23" s="179" t="s">
        <v>112</v>
      </c>
      <c r="D23" s="180">
        <v>59</v>
      </c>
      <c r="E23" s="136" t="s">
        <v>121</v>
      </c>
      <c r="F23" s="173">
        <f>615*(1-ScontoListinoTVCC)</f>
        <v>615</v>
      </c>
      <c r="G23" s="52">
        <f t="shared" si="0"/>
        <v>36285</v>
      </c>
      <c r="H23" s="183">
        <v>4</v>
      </c>
      <c r="I23" s="55">
        <f t="shared" si="1"/>
        <v>236</v>
      </c>
      <c r="J23" s="56">
        <f>I23*'Grand Total'!$E$22</f>
        <v>9912</v>
      </c>
      <c r="L23" s="155" t="s">
        <v>157</v>
      </c>
    </row>
    <row r="24" spans="1:19" x14ac:dyDescent="0.2">
      <c r="A24" s="8"/>
      <c r="B24" s="191" t="s">
        <v>114</v>
      </c>
      <c r="C24" s="179" t="s">
        <v>112</v>
      </c>
      <c r="D24" s="180">
        <v>5</v>
      </c>
      <c r="E24" s="55" t="s">
        <v>126</v>
      </c>
      <c r="F24" s="173">
        <f>1040*(1-ScontoListinoTVCC)</f>
        <v>1040</v>
      </c>
      <c r="G24" s="52">
        <f t="shared" si="0"/>
        <v>5200</v>
      </c>
      <c r="H24" s="183">
        <v>8</v>
      </c>
      <c r="I24" s="55">
        <f t="shared" si="1"/>
        <v>40</v>
      </c>
      <c r="J24" s="56">
        <f>I24*'Grand Total'!$E$22</f>
        <v>1680</v>
      </c>
      <c r="L24" s="155" t="s">
        <v>157</v>
      </c>
    </row>
    <row r="25" spans="1:19" x14ac:dyDescent="0.2">
      <c r="A25" s="8"/>
      <c r="B25" s="193" t="s">
        <v>203</v>
      </c>
      <c r="C25" s="179" t="s">
        <v>112</v>
      </c>
      <c r="D25" s="180">
        <v>56</v>
      </c>
      <c r="E25" s="55" t="s">
        <v>122</v>
      </c>
      <c r="F25" s="173">
        <f>130*(1-ScontoListinoTVCC)</f>
        <v>130</v>
      </c>
      <c r="G25" s="52">
        <f t="shared" si="0"/>
        <v>7280</v>
      </c>
      <c r="H25" s="183">
        <v>2</v>
      </c>
      <c r="I25" s="55">
        <f t="shared" ref="I25:I44" si="2">H25*D25</f>
        <v>112</v>
      </c>
      <c r="J25" s="56">
        <f>I25*'Grand Total'!$E$22</f>
        <v>4704</v>
      </c>
      <c r="L25" s="155" t="s">
        <v>157</v>
      </c>
    </row>
    <row r="26" spans="1:19" x14ac:dyDescent="0.2">
      <c r="A26" s="8"/>
      <c r="B26" s="191" t="s">
        <v>204</v>
      </c>
      <c r="C26" s="179" t="s">
        <v>123</v>
      </c>
      <c r="D26" s="180">
        <v>4</v>
      </c>
      <c r="E26" s="55" t="s">
        <v>124</v>
      </c>
      <c r="F26" s="173">
        <v>3200</v>
      </c>
      <c r="G26" s="52">
        <f t="shared" si="0"/>
        <v>12800</v>
      </c>
      <c r="H26" s="183">
        <v>3</v>
      </c>
      <c r="I26" s="55">
        <f t="shared" si="2"/>
        <v>12</v>
      </c>
      <c r="J26" s="56">
        <f>I26*'Grand Total'!$E$22</f>
        <v>504</v>
      </c>
      <c r="L26" s="155" t="s">
        <v>157</v>
      </c>
    </row>
    <row r="27" spans="1:19" x14ac:dyDescent="0.2">
      <c r="A27" s="8"/>
      <c r="B27" s="191"/>
      <c r="C27" s="179" t="s">
        <v>112</v>
      </c>
      <c r="D27" s="196"/>
      <c r="E27" s="55" t="s">
        <v>125</v>
      </c>
      <c r="F27" s="173"/>
      <c r="G27" s="52">
        <f t="shared" si="0"/>
        <v>0</v>
      </c>
      <c r="H27" s="183"/>
      <c r="I27" s="55">
        <f t="shared" si="2"/>
        <v>0</v>
      </c>
      <c r="J27" s="56">
        <f>I27*'Grand Total'!$E$22</f>
        <v>0</v>
      </c>
      <c r="L27" s="155" t="s">
        <v>157</v>
      </c>
    </row>
    <row r="28" spans="1:19" x14ac:dyDescent="0.2">
      <c r="A28" s="8"/>
      <c r="B28" s="191" t="s">
        <v>113</v>
      </c>
      <c r="C28" s="179" t="s">
        <v>112</v>
      </c>
      <c r="D28" s="180">
        <v>0</v>
      </c>
      <c r="E28" s="55" t="s">
        <v>127</v>
      </c>
      <c r="F28" s="173">
        <f>640*(1-ScontoListinoTVCC)</f>
        <v>640</v>
      </c>
      <c r="G28" s="52">
        <f t="shared" si="0"/>
        <v>0</v>
      </c>
      <c r="H28" s="183">
        <v>4</v>
      </c>
      <c r="I28" s="55">
        <f t="shared" si="2"/>
        <v>0</v>
      </c>
      <c r="J28" s="56">
        <f>I28*'Grand Total'!$E$22</f>
        <v>0</v>
      </c>
      <c r="L28" s="155" t="s">
        <v>157</v>
      </c>
    </row>
    <row r="29" spans="1:19" ht="22.5" x14ac:dyDescent="0.2">
      <c r="B29" s="178" t="s">
        <v>205</v>
      </c>
      <c r="C29" s="179" t="s">
        <v>112</v>
      </c>
      <c r="D29" s="180">
        <v>9</v>
      </c>
      <c r="E29" s="181" t="s">
        <v>208</v>
      </c>
      <c r="F29" s="173">
        <v>650</v>
      </c>
      <c r="G29" s="182">
        <f>+D29*F29</f>
        <v>5850</v>
      </c>
      <c r="H29" s="183">
        <v>4</v>
      </c>
      <c r="I29" s="184">
        <f>H29*D29</f>
        <v>36</v>
      </c>
      <c r="J29" s="185">
        <f>I29*'[1]Grand Total'!$E$22</f>
        <v>1512</v>
      </c>
      <c r="L29" s="188">
        <f>525.68*0.93</f>
        <v>488.88239999999996</v>
      </c>
      <c r="M29" s="188">
        <f>D29*L29</f>
        <v>4399.9416000000001</v>
      </c>
      <c r="N29" s="189">
        <v>2</v>
      </c>
      <c r="O29" s="189">
        <f>D29*N29</f>
        <v>18</v>
      </c>
      <c r="P29" s="188">
        <f>Costo_Tot/Ore_Tot_2P*N29</f>
        <v>275.22791556971964</v>
      </c>
      <c r="Q29" s="188">
        <f>D29*P29</f>
        <v>2477.0512401274768</v>
      </c>
      <c r="R29" s="188">
        <f>L29*(1+mk_materiale)+P29*(1+mk_mpo)</f>
        <v>945.36024646214946</v>
      </c>
      <c r="S29" s="188">
        <f>D29*R29</f>
        <v>8508.2422181593447</v>
      </c>
    </row>
    <row r="30" spans="1:19" x14ac:dyDescent="0.2">
      <c r="A30" s="8"/>
      <c r="B30" s="178" t="s">
        <v>206</v>
      </c>
      <c r="C30" s="194" t="s">
        <v>185</v>
      </c>
      <c r="D30" s="180">
        <v>25</v>
      </c>
      <c r="E30" s="55" t="s">
        <v>128</v>
      </c>
      <c r="F30" s="173">
        <f>350*(1-ScontoListinoTVCC)</f>
        <v>350</v>
      </c>
      <c r="G30" s="52">
        <f t="shared" ref="G30:G41" si="3">+D30*F30</f>
        <v>8750</v>
      </c>
      <c r="H30" s="183">
        <v>2</v>
      </c>
      <c r="I30" s="55">
        <f t="shared" ref="I30:I41" si="4">H30*D30</f>
        <v>50</v>
      </c>
      <c r="J30" s="56">
        <f>I30*'Grand Total'!$E$22</f>
        <v>2100</v>
      </c>
      <c r="L30" s="155" t="s">
        <v>157</v>
      </c>
    </row>
    <row r="31" spans="1:19" x14ac:dyDescent="0.2">
      <c r="A31" s="8"/>
      <c r="B31" s="191"/>
      <c r="C31" s="179"/>
      <c r="D31" s="196"/>
      <c r="E31" s="186" t="s">
        <v>170</v>
      </c>
      <c r="F31" s="173"/>
      <c r="G31" s="52">
        <f t="shared" si="3"/>
        <v>0</v>
      </c>
      <c r="H31" s="183"/>
      <c r="I31" s="55">
        <f t="shared" si="4"/>
        <v>0</v>
      </c>
      <c r="J31" s="56">
        <f>I31*'Grand Total'!$E$22</f>
        <v>0</v>
      </c>
      <c r="L31" s="155" t="s">
        <v>157</v>
      </c>
    </row>
    <row r="32" spans="1:19" ht="78.75" x14ac:dyDescent="0.2">
      <c r="B32" s="178" t="s">
        <v>184</v>
      </c>
      <c r="C32" s="179" t="s">
        <v>185</v>
      </c>
      <c r="D32" s="180">
        <v>1</v>
      </c>
      <c r="E32" s="187" t="s">
        <v>186</v>
      </c>
      <c r="F32" s="173">
        <v>0</v>
      </c>
      <c r="G32" s="182">
        <f t="shared" si="3"/>
        <v>0</v>
      </c>
      <c r="H32" s="183">
        <v>1</v>
      </c>
      <c r="I32" s="184">
        <f t="shared" si="4"/>
        <v>1</v>
      </c>
      <c r="J32" s="185">
        <f>I32*'[1]Grand Total'!$E$22</f>
        <v>42</v>
      </c>
      <c r="L32" s="188">
        <v>0</v>
      </c>
      <c r="M32" s="188">
        <f t="shared" ref="M32:M40" si="5">D32*L32</f>
        <v>0</v>
      </c>
      <c r="N32" s="189">
        <v>1</v>
      </c>
      <c r="O32" s="189">
        <f t="shared" ref="O32:O40" si="6">D32*N32</f>
        <v>1</v>
      </c>
      <c r="P32" s="188">
        <f t="shared" ref="P32:P40" si="7">Costo_Tot/Ore_Tot_2P*N32</f>
        <v>137.61395778485982</v>
      </c>
      <c r="Q32" s="188">
        <f t="shared" ref="Q32:Q40" si="8">D32*P32</f>
        <v>137.61395778485982</v>
      </c>
      <c r="R32" s="188">
        <f t="shared" ref="R32:R40" si="9">L32*(1+mk_materiale)+P32*(1+mk_mpo)</f>
        <v>172.01744723107478</v>
      </c>
      <c r="S32" s="188">
        <f t="shared" ref="S32:S40" si="10">D32*R32</f>
        <v>172.01744723107478</v>
      </c>
    </row>
    <row r="33" spans="1:19" ht="51" customHeight="1" x14ac:dyDescent="0.2">
      <c r="B33" s="178" t="s">
        <v>187</v>
      </c>
      <c r="C33" s="179" t="s">
        <v>185</v>
      </c>
      <c r="D33" s="180">
        <v>1</v>
      </c>
      <c r="E33" s="187" t="s">
        <v>188</v>
      </c>
      <c r="F33" s="173">
        <f>880*(1-ScontoListinoTVCC)</f>
        <v>880</v>
      </c>
      <c r="G33" s="182">
        <f t="shared" si="3"/>
        <v>880</v>
      </c>
      <c r="H33" s="183">
        <v>1</v>
      </c>
      <c r="I33" s="184">
        <f t="shared" si="4"/>
        <v>1</v>
      </c>
      <c r="J33" s="185">
        <f>I33*'[1]Grand Total'!$E$22</f>
        <v>42</v>
      </c>
      <c r="L33" s="188">
        <f>660*0.93</f>
        <v>613.80000000000007</v>
      </c>
      <c r="M33" s="188">
        <f t="shared" si="5"/>
        <v>613.80000000000007</v>
      </c>
      <c r="N33" s="189">
        <v>0.5</v>
      </c>
      <c r="O33" s="189">
        <f t="shared" si="6"/>
        <v>0.5</v>
      </c>
      <c r="P33" s="188">
        <f t="shared" si="7"/>
        <v>68.80697889242991</v>
      </c>
      <c r="Q33" s="188">
        <f t="shared" si="8"/>
        <v>68.80697889242991</v>
      </c>
      <c r="R33" s="188">
        <f t="shared" si="9"/>
        <v>840.98272361553745</v>
      </c>
      <c r="S33" s="188">
        <f t="shared" si="10"/>
        <v>840.98272361553745</v>
      </c>
    </row>
    <row r="34" spans="1:19" x14ac:dyDescent="0.2">
      <c r="B34" s="178" t="s">
        <v>189</v>
      </c>
      <c r="C34" s="179" t="s">
        <v>185</v>
      </c>
      <c r="D34" s="180">
        <v>1</v>
      </c>
      <c r="E34" s="190" t="s">
        <v>190</v>
      </c>
      <c r="F34" s="173">
        <v>240</v>
      </c>
      <c r="G34" s="182">
        <f t="shared" si="3"/>
        <v>240</v>
      </c>
      <c r="H34" s="183">
        <v>1</v>
      </c>
      <c r="I34" s="184">
        <f t="shared" si="4"/>
        <v>1</v>
      </c>
      <c r="J34" s="185">
        <f>I34*'[1]Grand Total'!$E$22</f>
        <v>42</v>
      </c>
      <c r="L34" s="188">
        <f>180*0.93</f>
        <v>167.4</v>
      </c>
      <c r="M34" s="188">
        <f t="shared" si="5"/>
        <v>167.4</v>
      </c>
      <c r="N34" s="189">
        <v>0.5</v>
      </c>
      <c r="O34" s="189">
        <f t="shared" si="6"/>
        <v>0.5</v>
      </c>
      <c r="P34" s="188">
        <f t="shared" si="7"/>
        <v>68.80697889242991</v>
      </c>
      <c r="Q34" s="188">
        <f t="shared" si="8"/>
        <v>68.80697889242991</v>
      </c>
      <c r="R34" s="188">
        <f t="shared" si="9"/>
        <v>291.91072361553739</v>
      </c>
      <c r="S34" s="188">
        <f t="shared" si="10"/>
        <v>291.91072361553739</v>
      </c>
    </row>
    <row r="35" spans="1:19" x14ac:dyDescent="0.2">
      <c r="B35" s="178" t="s">
        <v>191</v>
      </c>
      <c r="C35" s="179" t="s">
        <v>185</v>
      </c>
      <c r="D35" s="180">
        <v>1</v>
      </c>
      <c r="E35" s="190" t="s">
        <v>192</v>
      </c>
      <c r="F35" s="173">
        <f>200*(1-ScontoListinoTVCC)</f>
        <v>200</v>
      </c>
      <c r="G35" s="182">
        <f t="shared" si="3"/>
        <v>200</v>
      </c>
      <c r="H35" s="183">
        <v>1</v>
      </c>
      <c r="I35" s="184">
        <f t="shared" si="4"/>
        <v>1</v>
      </c>
      <c r="J35" s="185">
        <f>I35*'[1]Grand Total'!$E$22</f>
        <v>42</v>
      </c>
      <c r="L35" s="188">
        <f>150*0.93</f>
        <v>139.5</v>
      </c>
      <c r="M35" s="188">
        <f t="shared" si="5"/>
        <v>139.5</v>
      </c>
      <c r="N35" s="189">
        <v>0.5</v>
      </c>
      <c r="O35" s="189">
        <f t="shared" si="6"/>
        <v>0.5</v>
      </c>
      <c r="P35" s="188">
        <f t="shared" si="7"/>
        <v>68.80697889242991</v>
      </c>
      <c r="Q35" s="188">
        <f t="shared" si="8"/>
        <v>68.80697889242991</v>
      </c>
      <c r="R35" s="188">
        <f t="shared" si="9"/>
        <v>257.59372361553739</v>
      </c>
      <c r="S35" s="188">
        <f t="shared" si="10"/>
        <v>257.59372361553739</v>
      </c>
    </row>
    <row r="36" spans="1:19" x14ac:dyDescent="0.2">
      <c r="B36" s="178" t="s">
        <v>193</v>
      </c>
      <c r="C36" s="179" t="s">
        <v>185</v>
      </c>
      <c r="D36" s="180">
        <v>1</v>
      </c>
      <c r="E36" s="190" t="s">
        <v>194</v>
      </c>
      <c r="F36" s="173">
        <f>1150*(1-ScontoListinoTVCC)</f>
        <v>1150</v>
      </c>
      <c r="G36" s="182">
        <f t="shared" si="3"/>
        <v>1150</v>
      </c>
      <c r="H36" s="183">
        <v>1</v>
      </c>
      <c r="I36" s="184">
        <f t="shared" si="4"/>
        <v>1</v>
      </c>
      <c r="J36" s="185">
        <f>I36*'[1]Grand Total'!$E$22</f>
        <v>42</v>
      </c>
      <c r="L36" s="188">
        <f>866.25*0.93</f>
        <v>805.61250000000007</v>
      </c>
      <c r="M36" s="188">
        <f t="shared" si="5"/>
        <v>805.61250000000007</v>
      </c>
      <c r="N36" s="189">
        <v>0.5</v>
      </c>
      <c r="O36" s="189">
        <f t="shared" si="6"/>
        <v>0.5</v>
      </c>
      <c r="P36" s="188">
        <f t="shared" si="7"/>
        <v>68.80697889242991</v>
      </c>
      <c r="Q36" s="188">
        <f t="shared" si="8"/>
        <v>68.80697889242991</v>
      </c>
      <c r="R36" s="188">
        <f t="shared" si="9"/>
        <v>1076.9120986155374</v>
      </c>
      <c r="S36" s="188">
        <f t="shared" si="10"/>
        <v>1076.9120986155374</v>
      </c>
    </row>
    <row r="37" spans="1:19" x14ac:dyDescent="0.2">
      <c r="B37" s="178" t="s">
        <v>195</v>
      </c>
      <c r="C37" s="179" t="s">
        <v>185</v>
      </c>
      <c r="D37" s="180">
        <f>D24</f>
        <v>5</v>
      </c>
      <c r="E37" s="190" t="s">
        <v>196</v>
      </c>
      <c r="F37" s="173">
        <f>125*(1-ScontoListinoTVCC)</f>
        <v>125</v>
      </c>
      <c r="G37" s="182">
        <f t="shared" si="3"/>
        <v>625</v>
      </c>
      <c r="H37" s="183">
        <v>1</v>
      </c>
      <c r="I37" s="184">
        <f t="shared" si="4"/>
        <v>5</v>
      </c>
      <c r="J37" s="185">
        <f>I37*'[1]Grand Total'!$E$22</f>
        <v>210</v>
      </c>
      <c r="L37" s="188">
        <f>93.75*0.93</f>
        <v>87.1875</v>
      </c>
      <c r="M37" s="188">
        <f t="shared" si="5"/>
        <v>435.9375</v>
      </c>
      <c r="N37" s="189">
        <v>0.5</v>
      </c>
      <c r="O37" s="189">
        <f t="shared" si="6"/>
        <v>2.5</v>
      </c>
      <c r="P37" s="188">
        <f t="shared" si="7"/>
        <v>68.80697889242991</v>
      </c>
      <c r="Q37" s="188">
        <f t="shared" si="8"/>
        <v>344.03489446214957</v>
      </c>
      <c r="R37" s="188">
        <f t="shared" si="9"/>
        <v>193.24934861553737</v>
      </c>
      <c r="S37" s="188">
        <f t="shared" si="10"/>
        <v>966.24674307768692</v>
      </c>
    </row>
    <row r="38" spans="1:19" x14ac:dyDescent="0.2">
      <c r="B38" s="178" t="s">
        <v>197</v>
      </c>
      <c r="C38" s="179" t="s">
        <v>185</v>
      </c>
      <c r="D38" s="180">
        <f>D42</f>
        <v>59</v>
      </c>
      <c r="E38" s="190" t="s">
        <v>198</v>
      </c>
      <c r="F38" s="173">
        <f>30*(1-ScontoListinoTVCC)</f>
        <v>30</v>
      </c>
      <c r="G38" s="182">
        <f t="shared" si="3"/>
        <v>1770</v>
      </c>
      <c r="H38" s="183">
        <v>0.1</v>
      </c>
      <c r="I38" s="184">
        <f t="shared" si="4"/>
        <v>5.9</v>
      </c>
      <c r="J38" s="185">
        <f>I38*'[1]Grand Total'!$E$22</f>
        <v>247.8</v>
      </c>
      <c r="L38" s="188">
        <f>23.25*0.93</f>
        <v>21.622500000000002</v>
      </c>
      <c r="M38" s="188">
        <f t="shared" si="5"/>
        <v>1275.7275000000002</v>
      </c>
      <c r="N38" s="189">
        <v>0.05</v>
      </c>
      <c r="O38" s="189">
        <f t="shared" si="6"/>
        <v>2.95</v>
      </c>
      <c r="P38" s="188">
        <f t="shared" si="7"/>
        <v>6.8806978892429917</v>
      </c>
      <c r="Q38" s="188">
        <f t="shared" si="8"/>
        <v>405.96117546533651</v>
      </c>
      <c r="R38" s="188">
        <f t="shared" si="9"/>
        <v>35.196547361553741</v>
      </c>
      <c r="S38" s="188">
        <f t="shared" si="10"/>
        <v>2076.5962943316708</v>
      </c>
    </row>
    <row r="39" spans="1:19" x14ac:dyDescent="0.2">
      <c r="B39" s="178" t="s">
        <v>199</v>
      </c>
      <c r="C39" s="179" t="s">
        <v>185</v>
      </c>
      <c r="D39" s="180">
        <f>D37</f>
        <v>5</v>
      </c>
      <c r="E39" s="190" t="s">
        <v>200</v>
      </c>
      <c r="F39" s="173">
        <f>20*(1-ScontoListinoTVCC)</f>
        <v>20</v>
      </c>
      <c r="G39" s="182">
        <f t="shared" si="3"/>
        <v>100</v>
      </c>
      <c r="H39" s="183">
        <v>1</v>
      </c>
      <c r="I39" s="184">
        <f t="shared" si="4"/>
        <v>5</v>
      </c>
      <c r="J39" s="185">
        <f>I39*'[1]Grand Total'!$E$22</f>
        <v>210</v>
      </c>
      <c r="L39" s="188">
        <f>15*0.93</f>
        <v>13.950000000000001</v>
      </c>
      <c r="M39" s="188">
        <f t="shared" si="5"/>
        <v>69.75</v>
      </c>
      <c r="N39" s="189">
        <v>0.5</v>
      </c>
      <c r="O39" s="189">
        <f t="shared" si="6"/>
        <v>2.5</v>
      </c>
      <c r="P39" s="188">
        <f t="shared" si="7"/>
        <v>68.80697889242991</v>
      </c>
      <c r="Q39" s="188">
        <f t="shared" si="8"/>
        <v>344.03489446214957</v>
      </c>
      <c r="R39" s="188">
        <f t="shared" si="9"/>
        <v>103.1672236155374</v>
      </c>
      <c r="S39" s="188">
        <f t="shared" si="10"/>
        <v>515.83611807768693</v>
      </c>
    </row>
    <row r="40" spans="1:19" x14ac:dyDescent="0.2">
      <c r="B40" s="178" t="s">
        <v>201</v>
      </c>
      <c r="C40" s="179" t="s">
        <v>185</v>
      </c>
      <c r="D40" s="180">
        <v>25</v>
      </c>
      <c r="E40" s="190" t="s">
        <v>202</v>
      </c>
      <c r="F40" s="173">
        <f>70*(1-ScontoListinoTVCC)</f>
        <v>70</v>
      </c>
      <c r="G40" s="182">
        <f t="shared" si="3"/>
        <v>1750</v>
      </c>
      <c r="H40" s="183">
        <v>0.5</v>
      </c>
      <c r="I40" s="184">
        <f t="shared" si="4"/>
        <v>12.5</v>
      </c>
      <c r="J40" s="185">
        <f>I40*'[1]Grand Total'!$E$22</f>
        <v>525</v>
      </c>
      <c r="L40" s="188">
        <f>52.5*0.93</f>
        <v>48.825000000000003</v>
      </c>
      <c r="M40" s="188">
        <f t="shared" si="5"/>
        <v>1220.625</v>
      </c>
      <c r="N40" s="189">
        <v>0.25</v>
      </c>
      <c r="O40" s="189">
        <f t="shared" si="6"/>
        <v>6.25</v>
      </c>
      <c r="P40" s="188">
        <f t="shared" si="7"/>
        <v>34.403489446214955</v>
      </c>
      <c r="Q40" s="188">
        <f t="shared" si="8"/>
        <v>860.08723615537383</v>
      </c>
      <c r="R40" s="188">
        <f t="shared" si="9"/>
        <v>103.0591118077687</v>
      </c>
      <c r="S40" s="188">
        <f t="shared" si="10"/>
        <v>2576.4777951942174</v>
      </c>
    </row>
    <row r="41" spans="1:19" ht="22.5" x14ac:dyDescent="0.2">
      <c r="A41" s="8"/>
      <c r="B41" s="178"/>
      <c r="C41" s="179"/>
      <c r="D41" s="180"/>
      <c r="E41" s="113" t="s">
        <v>169</v>
      </c>
      <c r="F41" s="173"/>
      <c r="G41" s="52">
        <f t="shared" si="3"/>
        <v>0</v>
      </c>
      <c r="H41" s="183"/>
      <c r="I41" s="55">
        <f t="shared" si="4"/>
        <v>0</v>
      </c>
      <c r="J41" s="56">
        <f>I41*'Grand Total'!$E$22</f>
        <v>0</v>
      </c>
      <c r="L41" s="155" t="s">
        <v>157</v>
      </c>
    </row>
    <row r="42" spans="1:19" x14ac:dyDescent="0.2">
      <c r="A42" s="8"/>
      <c r="B42" s="178" t="s">
        <v>207</v>
      </c>
      <c r="C42" s="179" t="s">
        <v>185</v>
      </c>
      <c r="D42" s="180">
        <f>D18+D23+D28</f>
        <v>59</v>
      </c>
      <c r="E42" s="55" t="s">
        <v>129</v>
      </c>
      <c r="F42" s="173">
        <f>180*(1-ScontoListinoTVCC)</f>
        <v>180</v>
      </c>
      <c r="G42" s="52">
        <f t="shared" si="0"/>
        <v>10620</v>
      </c>
      <c r="H42" s="183">
        <v>0.1</v>
      </c>
      <c r="I42" s="55">
        <f t="shared" si="2"/>
        <v>5.9</v>
      </c>
      <c r="J42" s="56">
        <f>I42*'Grand Total'!$E$22</f>
        <v>247.8</v>
      </c>
      <c r="L42" s="155" t="s">
        <v>157</v>
      </c>
    </row>
    <row r="43" spans="1:19" x14ac:dyDescent="0.2">
      <c r="A43" s="8"/>
      <c r="B43" s="192" t="s">
        <v>88</v>
      </c>
      <c r="C43" s="195" t="s">
        <v>89</v>
      </c>
      <c r="D43" s="169">
        <v>1</v>
      </c>
      <c r="E43" s="51" t="s">
        <v>135</v>
      </c>
      <c r="F43" s="173"/>
      <c r="G43" s="52">
        <f t="shared" si="0"/>
        <v>0</v>
      </c>
      <c r="H43" s="183">
        <v>120</v>
      </c>
      <c r="I43" s="55">
        <f t="shared" si="2"/>
        <v>120</v>
      </c>
      <c r="J43" s="56">
        <f>I43*'Grand Total'!$E$22</f>
        <v>5040</v>
      </c>
      <c r="L43" s="155" t="s">
        <v>157</v>
      </c>
    </row>
    <row r="44" spans="1:19" x14ac:dyDescent="0.2">
      <c r="A44" s="8"/>
      <c r="B44" s="192" t="s">
        <v>88</v>
      </c>
      <c r="C44" s="195" t="s">
        <v>89</v>
      </c>
      <c r="D44" s="169">
        <v>1</v>
      </c>
      <c r="E44" s="51" t="s">
        <v>91</v>
      </c>
      <c r="F44" s="173"/>
      <c r="G44" s="52">
        <f t="shared" si="0"/>
        <v>0</v>
      </c>
      <c r="H44" s="183">
        <v>90</v>
      </c>
      <c r="I44" s="55">
        <f t="shared" si="2"/>
        <v>90</v>
      </c>
      <c r="J44" s="56">
        <f>I44*'Grand Total'!$E$22</f>
        <v>3780</v>
      </c>
      <c r="L44" s="155" t="s">
        <v>157</v>
      </c>
    </row>
    <row r="45" spans="1:19" x14ac:dyDescent="0.2">
      <c r="A45" s="8"/>
      <c r="B45" s="192" t="s">
        <v>88</v>
      </c>
      <c r="C45" s="195" t="s">
        <v>89</v>
      </c>
      <c r="D45" s="169">
        <v>1</v>
      </c>
      <c r="E45" s="51" t="s">
        <v>92</v>
      </c>
      <c r="F45" s="173"/>
      <c r="G45" s="52">
        <f t="shared" si="0"/>
        <v>0</v>
      </c>
      <c r="H45" s="183">
        <v>28</v>
      </c>
      <c r="I45" s="55">
        <f t="shared" si="1"/>
        <v>28</v>
      </c>
      <c r="J45" s="56">
        <f>I45*'Grand Total'!$E$22</f>
        <v>1176</v>
      </c>
      <c r="L45" s="155" t="s">
        <v>157</v>
      </c>
    </row>
    <row r="46" spans="1:19" x14ac:dyDescent="0.2">
      <c r="A46" s="8"/>
      <c r="B46" s="192"/>
      <c r="C46" s="195"/>
      <c r="D46" s="169">
        <v>1</v>
      </c>
      <c r="E46" s="51" t="s">
        <v>134</v>
      </c>
      <c r="F46" s="173"/>
      <c r="G46" s="52">
        <f t="shared" ref="G46:G49" si="11">+D46*F46</f>
        <v>0</v>
      </c>
      <c r="H46" s="183">
        <v>48</v>
      </c>
      <c r="I46" s="55">
        <f t="shared" ref="I46:I49" si="12">H46*D46</f>
        <v>48</v>
      </c>
      <c r="J46" s="56">
        <f>I46*'Grand Total'!$E$22</f>
        <v>2016</v>
      </c>
      <c r="L46" s="155" t="s">
        <v>157</v>
      </c>
    </row>
    <row r="47" spans="1:19" x14ac:dyDescent="0.2">
      <c r="A47" s="8"/>
      <c r="B47" s="58"/>
      <c r="C47" s="49"/>
      <c r="D47" s="127"/>
      <c r="E47" s="51"/>
      <c r="F47" s="173"/>
      <c r="G47" s="52">
        <f t="shared" si="11"/>
        <v>0</v>
      </c>
      <c r="H47" s="183"/>
      <c r="I47" s="55">
        <f t="shared" si="12"/>
        <v>0</v>
      </c>
      <c r="J47" s="56">
        <f>I47*'Grand Total'!$E$22</f>
        <v>0</v>
      </c>
      <c r="L47" s="155" t="s">
        <v>157</v>
      </c>
    </row>
    <row r="48" spans="1:19" x14ac:dyDescent="0.2">
      <c r="A48" s="8"/>
      <c r="B48" s="58"/>
      <c r="C48" s="49"/>
      <c r="D48" s="127"/>
      <c r="E48" s="51"/>
      <c r="F48" s="173"/>
      <c r="G48" s="52">
        <f t="shared" si="11"/>
        <v>0</v>
      </c>
      <c r="H48" s="183"/>
      <c r="I48" s="55">
        <f t="shared" si="12"/>
        <v>0</v>
      </c>
      <c r="J48" s="56">
        <f>I48*'Grand Total'!$E$22</f>
        <v>0</v>
      </c>
      <c r="L48" s="155" t="s">
        <v>157</v>
      </c>
    </row>
    <row r="49" spans="1:17" x14ac:dyDescent="0.2">
      <c r="A49" s="8"/>
      <c r="B49" s="58"/>
      <c r="C49" s="49"/>
      <c r="D49" s="127"/>
      <c r="E49" s="51"/>
      <c r="F49" s="85"/>
      <c r="G49" s="52">
        <f t="shared" si="11"/>
        <v>0</v>
      </c>
      <c r="H49" s="87"/>
      <c r="I49" s="55">
        <f t="shared" si="12"/>
        <v>0</v>
      </c>
      <c r="J49" s="56">
        <f>I49*'Grand Total'!$E$22</f>
        <v>0</v>
      </c>
      <c r="L49" s="155" t="s">
        <v>157</v>
      </c>
    </row>
    <row r="50" spans="1:17" x14ac:dyDescent="0.2">
      <c r="A50" s="8"/>
      <c r="B50" s="58"/>
      <c r="C50" s="137"/>
      <c r="D50" s="92"/>
      <c r="E50" s="167" t="s">
        <v>173</v>
      </c>
      <c r="F50" s="52"/>
      <c r="G50" s="93"/>
      <c r="H50" s="225">
        <f>SUM(H17:H49)</f>
        <v>328.7</v>
      </c>
      <c r="I50" s="225">
        <f>SUM(I17:I49)</f>
        <v>1331.3000000000002</v>
      </c>
      <c r="J50" s="55"/>
    </row>
    <row r="51" spans="1:17" ht="13.5" thickBot="1" x14ac:dyDescent="0.25">
      <c r="A51" s="8"/>
      <c r="B51" s="91"/>
      <c r="C51" s="89"/>
      <c r="D51" s="90"/>
      <c r="E51" s="60" t="s">
        <v>152</v>
      </c>
      <c r="F51" s="95"/>
      <c r="G51" s="96"/>
      <c r="H51" s="94"/>
      <c r="I51" s="55"/>
      <c r="J51" s="97"/>
    </row>
    <row r="52" spans="1:17" ht="13.5" thickBot="1" x14ac:dyDescent="0.25">
      <c r="A52" s="8"/>
      <c r="B52" s="98"/>
      <c r="C52" s="98"/>
      <c r="D52" s="98"/>
      <c r="E52" s="99" t="s">
        <v>0</v>
      </c>
      <c r="F52" s="66"/>
      <c r="G52" s="67"/>
      <c r="H52" s="68"/>
      <c r="I52" s="69"/>
      <c r="J52" s="118">
        <f>SUM(G16:G49)+SUM(J16:J49)</f>
        <v>197514.6</v>
      </c>
      <c r="L52" s="164" t="s">
        <v>168</v>
      </c>
      <c r="M52" s="164"/>
      <c r="N52" s="164"/>
      <c r="O52" s="164"/>
      <c r="P52" s="164"/>
      <c r="Q52" s="164"/>
    </row>
    <row r="53" spans="1:17" s="4" customFormat="1" ht="13.5" thickBot="1" x14ac:dyDescent="0.25">
      <c r="A53" s="62"/>
      <c r="B53" s="100"/>
      <c r="C53" s="100"/>
      <c r="D53" s="100"/>
      <c r="E53" s="101"/>
      <c r="F53" s="102"/>
      <c r="G53" s="103"/>
      <c r="H53" s="104"/>
      <c r="I53" s="105"/>
      <c r="J53" s="105"/>
      <c r="K53" s="226">
        <f>I50*'Grand Total'!E22</f>
        <v>55914.600000000006</v>
      </c>
    </row>
    <row r="54" spans="1:17" ht="36" customHeight="1" thickBot="1" x14ac:dyDescent="0.25">
      <c r="A54" s="8"/>
      <c r="B54" s="44" t="s">
        <v>2</v>
      </c>
      <c r="C54" s="44" t="s">
        <v>3</v>
      </c>
      <c r="D54" s="77" t="s">
        <v>1</v>
      </c>
      <c r="E54" s="45" t="s">
        <v>94</v>
      </c>
      <c r="F54" s="46" t="s">
        <v>130</v>
      </c>
      <c r="G54" s="46" t="s">
        <v>12</v>
      </c>
      <c r="H54" s="47" t="s">
        <v>9</v>
      </c>
      <c r="I54" s="47" t="s">
        <v>10</v>
      </c>
      <c r="J54" s="47" t="s">
        <v>11</v>
      </c>
      <c r="L54" s="226">
        <f>K53+Access!K43</f>
        <v>90728.4</v>
      </c>
      <c r="M54" s="216" t="s">
        <v>226</v>
      </c>
    </row>
    <row r="55" spans="1:17" x14ac:dyDescent="0.2">
      <c r="A55" s="8"/>
      <c r="B55" s="191" t="s">
        <v>209</v>
      </c>
      <c r="C55" s="179" t="s">
        <v>210</v>
      </c>
      <c r="D55" s="180">
        <v>0</v>
      </c>
      <c r="E55" s="181" t="s">
        <v>211</v>
      </c>
      <c r="F55" s="198">
        <v>700</v>
      </c>
      <c r="G55" s="182">
        <f t="shared" ref="G55:G58" si="13">+D55*F55</f>
        <v>0</v>
      </c>
      <c r="H55" s="183">
        <v>2</v>
      </c>
      <c r="I55" s="55">
        <f>H55*D55</f>
        <v>0</v>
      </c>
      <c r="J55" s="56">
        <f>I55*'Grand Total'!$E$22</f>
        <v>0</v>
      </c>
    </row>
    <row r="56" spans="1:17" ht="33.75" x14ac:dyDescent="0.2">
      <c r="A56" s="8"/>
      <c r="B56" s="191" t="s">
        <v>212</v>
      </c>
      <c r="C56" s="179" t="s">
        <v>112</v>
      </c>
      <c r="D56" s="180">
        <v>0</v>
      </c>
      <c r="E56" s="181" t="s">
        <v>213</v>
      </c>
      <c r="F56" s="198">
        <v>470</v>
      </c>
      <c r="G56" s="182">
        <f t="shared" si="13"/>
        <v>0</v>
      </c>
      <c r="H56" s="183">
        <v>4</v>
      </c>
      <c r="I56" s="55">
        <f t="shared" ref="I56:I59" si="14">H56*D56</f>
        <v>0</v>
      </c>
      <c r="J56" s="56">
        <f>I56*'Grand Total'!$E$22</f>
        <v>0</v>
      </c>
    </row>
    <row r="57" spans="1:17" x14ac:dyDescent="0.2">
      <c r="A57" s="8"/>
      <c r="B57" s="191" t="s">
        <v>214</v>
      </c>
      <c r="C57" s="179" t="s">
        <v>112</v>
      </c>
      <c r="D57" s="180">
        <v>0</v>
      </c>
      <c r="E57" s="181" t="s">
        <v>215</v>
      </c>
      <c r="F57" s="198">
        <v>50</v>
      </c>
      <c r="G57" s="182">
        <f t="shared" si="13"/>
        <v>0</v>
      </c>
      <c r="H57" s="183">
        <v>0.5</v>
      </c>
      <c r="I57" s="55">
        <f t="shared" si="14"/>
        <v>0</v>
      </c>
      <c r="J57" s="56">
        <f>I57*'Grand Total'!$E$22</f>
        <v>0</v>
      </c>
    </row>
    <row r="58" spans="1:17" ht="22.5" x14ac:dyDescent="0.2">
      <c r="A58" s="8"/>
      <c r="B58" s="191" t="s">
        <v>216</v>
      </c>
      <c r="C58" s="179" t="s">
        <v>112</v>
      </c>
      <c r="D58" s="180">
        <v>0</v>
      </c>
      <c r="E58" s="181" t="s">
        <v>217</v>
      </c>
      <c r="F58" s="198">
        <v>95</v>
      </c>
      <c r="G58" s="182">
        <f t="shared" si="13"/>
        <v>0</v>
      </c>
      <c r="H58" s="183">
        <v>0.5</v>
      </c>
      <c r="I58" s="55">
        <f t="shared" si="14"/>
        <v>0</v>
      </c>
      <c r="J58" s="56">
        <f>I58*'Grand Total'!$E$22</f>
        <v>0</v>
      </c>
    </row>
    <row r="59" spans="1:17" x14ac:dyDescent="0.2">
      <c r="A59" s="8"/>
      <c r="B59" s="88"/>
      <c r="C59" s="89"/>
      <c r="D59" s="128"/>
      <c r="E59" s="113"/>
      <c r="F59" s="32"/>
      <c r="G59" s="52">
        <f t="shared" ref="G59" si="15">+D59*F59</f>
        <v>0</v>
      </c>
      <c r="H59" s="87"/>
      <c r="I59" s="55">
        <f t="shared" si="14"/>
        <v>0</v>
      </c>
      <c r="J59" s="56">
        <f>I59*'Grand Total'!$E$22</f>
        <v>0</v>
      </c>
    </row>
    <row r="60" spans="1:17" x14ac:dyDescent="0.2">
      <c r="A60" s="8"/>
      <c r="B60" s="88"/>
      <c r="C60" s="89"/>
      <c r="D60" s="128"/>
      <c r="E60" s="113"/>
      <c r="F60" s="32"/>
      <c r="G60" s="52">
        <f>+D60*F60</f>
        <v>0</v>
      </c>
      <c r="H60" s="87"/>
      <c r="I60" s="55">
        <f>H60*D60</f>
        <v>0</v>
      </c>
      <c r="J60" s="56">
        <f>I60*'Grand Total'!$E$22</f>
        <v>0</v>
      </c>
    </row>
    <row r="61" spans="1:17" ht="13.5" thickBot="1" x14ac:dyDescent="0.25">
      <c r="A61" s="8"/>
      <c r="B61" s="106"/>
      <c r="C61" s="105"/>
      <c r="D61" s="106"/>
      <c r="E61" s="107"/>
      <c r="F61" s="93"/>
      <c r="G61" s="108"/>
      <c r="H61" s="59"/>
      <c r="I61" s="106"/>
      <c r="J61" s="93"/>
    </row>
    <row r="62" spans="1:17" ht="13.5" thickBot="1" x14ac:dyDescent="0.25">
      <c r="A62" s="8"/>
      <c r="B62" s="80"/>
      <c r="C62" s="109"/>
      <c r="D62" s="80"/>
      <c r="E62" s="110" t="s">
        <v>15</v>
      </c>
      <c r="F62" s="111"/>
      <c r="G62" s="67"/>
      <c r="H62" s="68"/>
      <c r="I62" s="69"/>
      <c r="J62" s="70">
        <f>SUM(G55:G60)+SUM(J55:J60)</f>
        <v>0</v>
      </c>
    </row>
    <row r="63" spans="1:17" x14ac:dyDescent="0.2">
      <c r="A63" s="8"/>
      <c r="B63" s="8"/>
      <c r="C63" s="8"/>
      <c r="D63" s="8"/>
      <c r="E63" s="8"/>
      <c r="F63" s="23"/>
      <c r="G63" s="23"/>
      <c r="H63" s="8"/>
      <c r="I63" s="8"/>
      <c r="J63" s="8"/>
    </row>
    <row r="64" spans="1:17" x14ac:dyDescent="0.2">
      <c r="A64" s="8"/>
      <c r="B64" s="8"/>
      <c r="C64" s="8"/>
      <c r="D64" s="8"/>
      <c r="E64" s="8"/>
      <c r="F64" s="23"/>
      <c r="G64" s="23"/>
      <c r="H64" s="8"/>
      <c r="I64" s="8"/>
      <c r="J64" s="8"/>
    </row>
  </sheetData>
  <sheetProtection selectLockedCells="1"/>
  <customSheetViews>
    <customSheetView guid="{3E842511-23E9-411A-81C3-49DA0CD0D1AF}" showPageBreaks="1" fitToPage="1" view="pageLayout">
      <selection activeCell="E14" sqref="E14"/>
      <pageMargins left="0.75" right="0.75" top="1" bottom="1" header="0.5" footer="0.5"/>
      <pageSetup paperSize="9" scale="83" orientation="landscape" r:id="rId1"/>
      <headerFooter alignWithMargins="0"/>
    </customSheetView>
  </customSheetViews>
  <mergeCells count="6">
    <mergeCell ref="E5:G5"/>
    <mergeCell ref="E6:G6"/>
    <mergeCell ref="E1:G1"/>
    <mergeCell ref="E2:G2"/>
    <mergeCell ref="E3:G3"/>
    <mergeCell ref="E4:G4"/>
  </mergeCells>
  <phoneticPr fontId="8" type="noConversion"/>
  <pageMargins left="1.5354330708661419" right="0.74803149606299213" top="0.39370078740157483" bottom="0.39370078740157483" header="0" footer="0"/>
  <pageSetup paperSize="9" scale="74"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0137E-93C4-4977-9E3C-A4D9B8F7CDCF}">
  <sheetPr>
    <pageSetUpPr fitToPage="1"/>
  </sheetPr>
  <dimension ref="A1:U54"/>
  <sheetViews>
    <sheetView tabSelected="1" topLeftCell="A13" zoomScaleNormal="100" workbookViewId="0">
      <selection activeCell="H33" sqref="H33"/>
    </sheetView>
  </sheetViews>
  <sheetFormatPr defaultColWidth="11.42578125" defaultRowHeight="12.75" x14ac:dyDescent="0.2"/>
  <cols>
    <col min="1" max="1" width="3.7109375" customWidth="1"/>
    <col min="2" max="3" width="11.7109375" customWidth="1"/>
    <col min="4" max="4" width="6.7109375" customWidth="1"/>
    <col min="5" max="5" width="64.5703125" customWidth="1"/>
    <col min="6" max="7" width="17.140625" style="22" customWidth="1"/>
    <col min="8" max="8" width="10.7109375" customWidth="1"/>
    <col min="9" max="9" width="9.85546875" customWidth="1"/>
    <col min="10" max="10" width="15.7109375" customWidth="1"/>
    <col min="12" max="12" width="13.140625" bestFit="1" customWidth="1"/>
  </cols>
  <sheetData>
    <row r="1" spans="1:21" x14ac:dyDescent="0.2">
      <c r="A1" s="8"/>
      <c r="B1" s="8"/>
      <c r="C1" s="8"/>
      <c r="D1" s="8"/>
      <c r="E1" s="213" t="str">
        <f>'Grand Total'!D1</f>
        <v>Zalando Quotation sheet Template</v>
      </c>
      <c r="F1" s="207"/>
      <c r="G1" s="208"/>
      <c r="H1" s="8"/>
      <c r="I1" s="8"/>
      <c r="J1" s="8"/>
    </row>
    <row r="2" spans="1:21" ht="21" customHeight="1" x14ac:dyDescent="0.25">
      <c r="A2" s="8"/>
      <c r="B2" s="9"/>
      <c r="C2" s="9"/>
      <c r="D2" s="9"/>
      <c r="E2" s="209"/>
      <c r="F2" s="201"/>
      <c r="G2" s="202"/>
      <c r="H2" s="8"/>
      <c r="I2" s="8"/>
      <c r="J2" s="8"/>
    </row>
    <row r="3" spans="1:21" ht="12.75" customHeight="1" x14ac:dyDescent="0.2">
      <c r="A3" s="8"/>
      <c r="B3" s="8"/>
      <c r="C3" s="8"/>
      <c r="D3" s="8"/>
      <c r="E3" s="200" t="str">
        <f>'Grand Total'!D3</f>
        <v>QUOTATION ZALANDO GF6 Verona Italy</v>
      </c>
      <c r="F3" s="214"/>
      <c r="G3" s="215"/>
      <c r="H3" s="8"/>
      <c r="I3" s="8"/>
      <c r="J3" s="8"/>
    </row>
    <row r="4" spans="1:21" ht="18" x14ac:dyDescent="0.25">
      <c r="A4" s="8"/>
      <c r="B4" s="10"/>
      <c r="C4" s="10"/>
      <c r="D4" s="10"/>
      <c r="E4" s="200"/>
      <c r="F4" s="201"/>
      <c r="G4" s="202"/>
      <c r="H4" s="8"/>
      <c r="I4" s="8"/>
      <c r="J4" s="8"/>
    </row>
    <row r="5" spans="1:21" x14ac:dyDescent="0.2">
      <c r="A5" s="8"/>
      <c r="B5" s="11"/>
      <c r="C5" s="11"/>
      <c r="D5" s="11"/>
      <c r="E5" s="200" t="str">
        <f>'Grand Total'!D7</f>
        <v>Date: 17-6-2019</v>
      </c>
      <c r="F5" s="201"/>
      <c r="G5" s="202"/>
      <c r="H5" s="8"/>
      <c r="I5" s="8"/>
      <c r="J5" s="8"/>
    </row>
    <row r="6" spans="1:21" ht="13.5" thickBot="1" x14ac:dyDescent="0.25">
      <c r="A6" s="8"/>
      <c r="B6" s="11"/>
      <c r="C6" s="11"/>
      <c r="D6" s="11"/>
      <c r="E6" s="210"/>
      <c r="F6" s="211"/>
      <c r="G6" s="212"/>
      <c r="H6" s="8"/>
      <c r="I6" s="8"/>
      <c r="J6" s="8"/>
    </row>
    <row r="7" spans="1:21" x14ac:dyDescent="0.2">
      <c r="A7" s="8"/>
      <c r="B7" s="11"/>
      <c r="C7" s="11"/>
      <c r="D7" s="11"/>
      <c r="E7" s="17"/>
      <c r="F7" s="23"/>
      <c r="G7" s="23"/>
      <c r="H7" s="8"/>
      <c r="I7" s="8"/>
      <c r="J7" s="8"/>
    </row>
    <row r="8" spans="1:21" x14ac:dyDescent="0.2">
      <c r="A8" s="8"/>
      <c r="B8" s="11"/>
      <c r="C8" s="11"/>
      <c r="D8" s="11"/>
      <c r="E8" s="165" t="s">
        <v>171</v>
      </c>
      <c r="F8" s="166"/>
      <c r="G8" s="23"/>
      <c r="H8" s="8"/>
      <c r="I8" s="8"/>
      <c r="J8" s="8"/>
    </row>
    <row r="9" spans="1:21" x14ac:dyDescent="0.2">
      <c r="A9" s="8"/>
      <c r="B9" s="11"/>
      <c r="C9" s="11"/>
      <c r="D9" s="11"/>
      <c r="E9" s="165" t="s">
        <v>172</v>
      </c>
      <c r="F9" s="166"/>
      <c r="G9" s="23"/>
      <c r="H9" s="8"/>
      <c r="I9" s="8"/>
      <c r="J9" s="8"/>
    </row>
    <row r="10" spans="1:21" x14ac:dyDescent="0.2">
      <c r="A10" s="8"/>
      <c r="B10" s="11"/>
      <c r="C10" s="11"/>
      <c r="D10" s="11"/>
      <c r="E10" s="34"/>
      <c r="F10" s="114"/>
      <c r="G10" s="23"/>
      <c r="H10" s="8"/>
      <c r="I10" s="8"/>
      <c r="J10" s="8"/>
    </row>
    <row r="11" spans="1:21" x14ac:dyDescent="0.2">
      <c r="A11" s="8"/>
      <c r="B11" s="11"/>
      <c r="C11" s="11"/>
      <c r="D11" s="11"/>
      <c r="E11" s="17"/>
      <c r="F11" s="23"/>
      <c r="G11" s="23"/>
      <c r="H11" s="8"/>
      <c r="I11" s="8"/>
      <c r="J11" s="8"/>
    </row>
    <row r="12" spans="1:21" x14ac:dyDescent="0.2">
      <c r="A12" s="8"/>
      <c r="B12" s="11"/>
      <c r="C12" s="11"/>
      <c r="D12" s="156" t="s">
        <v>159</v>
      </c>
      <c r="E12" s="8"/>
      <c r="F12" s="157" t="s">
        <v>160</v>
      </c>
      <c r="G12" s="23"/>
      <c r="H12" s="158" t="s">
        <v>161</v>
      </c>
      <c r="I12" s="8"/>
      <c r="J12" s="8"/>
    </row>
    <row r="13" spans="1:21" x14ac:dyDescent="0.2">
      <c r="A13" s="8"/>
      <c r="B13" s="11"/>
      <c r="C13" s="11"/>
      <c r="D13" s="161" t="s">
        <v>163</v>
      </c>
      <c r="E13" s="161"/>
      <c r="F13" s="162" t="s">
        <v>163</v>
      </c>
      <c r="G13" s="162"/>
      <c r="H13" s="160" t="s">
        <v>163</v>
      </c>
      <c r="I13" s="8"/>
      <c r="J13" s="8"/>
    </row>
    <row r="14" spans="1:21" ht="13.5" thickBot="1" x14ac:dyDescent="0.25">
      <c r="A14" s="8"/>
      <c r="B14" s="12"/>
      <c r="C14" s="12"/>
      <c r="D14" s="12" t="s">
        <v>162</v>
      </c>
      <c r="E14" s="12"/>
      <c r="F14" s="163" t="s">
        <v>162</v>
      </c>
      <c r="G14" s="157" t="s">
        <v>165</v>
      </c>
      <c r="H14" s="159" t="s">
        <v>162</v>
      </c>
      <c r="I14" s="156" t="s">
        <v>164</v>
      </c>
      <c r="J14" s="156" t="s">
        <v>164</v>
      </c>
    </row>
    <row r="15" spans="1:21" ht="36" customHeight="1" thickBot="1" x14ac:dyDescent="0.25">
      <c r="A15" s="8"/>
      <c r="B15" s="44" t="s">
        <v>2</v>
      </c>
      <c r="C15" s="44" t="s">
        <v>3</v>
      </c>
      <c r="D15" s="44" t="s">
        <v>1</v>
      </c>
      <c r="E15" s="45" t="s">
        <v>138</v>
      </c>
      <c r="F15" s="46" t="s">
        <v>130</v>
      </c>
      <c r="G15" s="46" t="s">
        <v>12</v>
      </c>
      <c r="H15" s="47" t="s">
        <v>9</v>
      </c>
      <c r="I15" s="47" t="s">
        <v>10</v>
      </c>
      <c r="J15" s="47" t="s">
        <v>11</v>
      </c>
    </row>
    <row r="16" spans="1:21" x14ac:dyDescent="0.2">
      <c r="A16" s="8"/>
      <c r="B16" s="178" t="s">
        <v>218</v>
      </c>
      <c r="C16" s="194" t="s">
        <v>123</v>
      </c>
      <c r="D16" s="180">
        <v>85</v>
      </c>
      <c r="E16" s="135" t="s">
        <v>140</v>
      </c>
      <c r="F16" s="173">
        <f>200*(1-ScontoListinoAccessi)</f>
        <v>200</v>
      </c>
      <c r="G16" s="52">
        <f t="shared" ref="G16:G39" si="0">+D16*F16</f>
        <v>17000</v>
      </c>
      <c r="H16" s="183">
        <v>2</v>
      </c>
      <c r="I16" s="53">
        <f t="shared" ref="I16:I39" si="1">H16*D16</f>
        <v>170</v>
      </c>
      <c r="J16" s="54">
        <f>I16*'Grand Total'!$E$22</f>
        <v>7140</v>
      </c>
      <c r="K16" s="155" t="s">
        <v>166</v>
      </c>
      <c r="L16" s="153" t="s">
        <v>167</v>
      </c>
      <c r="M16" s="153"/>
      <c r="N16" s="153"/>
      <c r="O16" s="153"/>
      <c r="P16" s="153"/>
      <c r="Q16" s="153"/>
      <c r="R16" s="153"/>
      <c r="S16" s="153"/>
      <c r="T16" s="153"/>
      <c r="U16" s="150"/>
    </row>
    <row r="17" spans="1:12" x14ac:dyDescent="0.2">
      <c r="A17" s="8"/>
      <c r="B17" s="178" t="s">
        <v>219</v>
      </c>
      <c r="C17" s="194" t="s">
        <v>123</v>
      </c>
      <c r="D17" s="180">
        <v>6</v>
      </c>
      <c r="E17" s="113" t="s">
        <v>141</v>
      </c>
      <c r="F17" s="174">
        <v>430</v>
      </c>
      <c r="G17" s="52">
        <f t="shared" si="0"/>
        <v>2580</v>
      </c>
      <c r="H17" s="183">
        <v>2</v>
      </c>
      <c r="I17" s="55">
        <f t="shared" si="1"/>
        <v>12</v>
      </c>
      <c r="J17" s="56">
        <f>I17*'Grand Total'!$E$22</f>
        <v>504</v>
      </c>
      <c r="L17" s="155" t="s">
        <v>157</v>
      </c>
    </row>
    <row r="18" spans="1:12" x14ac:dyDescent="0.2">
      <c r="A18" s="8"/>
      <c r="B18" s="178">
        <v>9942319</v>
      </c>
      <c r="C18" s="194" t="s">
        <v>123</v>
      </c>
      <c r="D18" s="180">
        <v>3</v>
      </c>
      <c r="E18" s="113" t="s">
        <v>148</v>
      </c>
      <c r="F18" s="174">
        <v>1100</v>
      </c>
      <c r="G18" s="52">
        <f t="shared" ref="G18" si="2">+D18*F18</f>
        <v>3300</v>
      </c>
      <c r="H18" s="183">
        <v>3</v>
      </c>
      <c r="I18" s="55">
        <f t="shared" ref="I18" si="3">H18*D18</f>
        <v>9</v>
      </c>
      <c r="J18" s="56">
        <f>I18*'Grand Total'!$E$22</f>
        <v>378</v>
      </c>
      <c r="L18" s="155" t="s">
        <v>157</v>
      </c>
    </row>
    <row r="19" spans="1:12" x14ac:dyDescent="0.2">
      <c r="A19" s="8"/>
      <c r="B19" s="178" t="s">
        <v>219</v>
      </c>
      <c r="C19" s="194" t="s">
        <v>123</v>
      </c>
      <c r="D19" s="180">
        <v>29</v>
      </c>
      <c r="E19" s="136" t="s">
        <v>142</v>
      </c>
      <c r="F19" s="173">
        <f>F17</f>
        <v>430</v>
      </c>
      <c r="G19" s="52">
        <f t="shared" si="0"/>
        <v>12470</v>
      </c>
      <c r="H19" s="183">
        <f>H17</f>
        <v>2</v>
      </c>
      <c r="I19" s="55">
        <f t="shared" si="1"/>
        <v>58</v>
      </c>
      <c r="J19" s="56">
        <f>I19*'Grand Total'!$E$22</f>
        <v>2436</v>
      </c>
      <c r="L19" s="155" t="s">
        <v>157</v>
      </c>
    </row>
    <row r="20" spans="1:12" x14ac:dyDescent="0.2">
      <c r="A20" s="8"/>
      <c r="B20" s="192"/>
      <c r="C20" s="179"/>
      <c r="D20" s="180">
        <f>SUM(D16:D19)</f>
        <v>123</v>
      </c>
      <c r="E20" s="136" t="s">
        <v>143</v>
      </c>
      <c r="F20" s="174">
        <v>0</v>
      </c>
      <c r="G20" s="52">
        <f t="shared" si="0"/>
        <v>0</v>
      </c>
      <c r="H20" s="199">
        <v>0.5</v>
      </c>
      <c r="I20" s="55">
        <f t="shared" si="1"/>
        <v>61.5</v>
      </c>
      <c r="J20" s="56">
        <f>I20*'Grand Total'!$E$22</f>
        <v>2583</v>
      </c>
      <c r="L20" s="155" t="s">
        <v>157</v>
      </c>
    </row>
    <row r="21" spans="1:12" x14ac:dyDescent="0.2">
      <c r="A21" s="8"/>
      <c r="B21" s="191"/>
      <c r="C21" s="179"/>
      <c r="D21" s="180">
        <v>21</v>
      </c>
      <c r="E21" s="136" t="s">
        <v>144</v>
      </c>
      <c r="F21" s="173">
        <f>40*(1-ScontoListinoAccessi)</f>
        <v>40</v>
      </c>
      <c r="G21" s="52">
        <f t="shared" si="0"/>
        <v>840</v>
      </c>
      <c r="H21" s="183">
        <v>1</v>
      </c>
      <c r="I21" s="55">
        <f t="shared" si="1"/>
        <v>21</v>
      </c>
      <c r="J21" s="56">
        <f>I21*'Grand Total'!$E$22</f>
        <v>882</v>
      </c>
      <c r="L21" s="155" t="s">
        <v>157</v>
      </c>
    </row>
    <row r="22" spans="1:12" x14ac:dyDescent="0.2">
      <c r="A22" s="8"/>
      <c r="B22" s="191"/>
      <c r="C22" s="179"/>
      <c r="D22" s="180">
        <f>D20</f>
        <v>123</v>
      </c>
      <c r="E22" s="136" t="s">
        <v>145</v>
      </c>
      <c r="F22" s="173">
        <f>40*(1-ScontoListinoAccessi)</f>
        <v>40</v>
      </c>
      <c r="G22" s="52">
        <f t="shared" si="0"/>
        <v>4920</v>
      </c>
      <c r="H22" s="183">
        <v>1</v>
      </c>
      <c r="I22" s="55">
        <f t="shared" si="1"/>
        <v>123</v>
      </c>
      <c r="J22" s="56">
        <f>I22*'Grand Total'!$E$22</f>
        <v>5166</v>
      </c>
      <c r="L22" s="155" t="s">
        <v>157</v>
      </c>
    </row>
    <row r="23" spans="1:12" x14ac:dyDescent="0.2">
      <c r="A23" s="8"/>
      <c r="B23" s="191"/>
      <c r="C23" s="179"/>
      <c r="D23" s="180">
        <v>0</v>
      </c>
      <c r="E23" s="136" t="s">
        <v>146</v>
      </c>
      <c r="F23" s="173">
        <f>20*(1-ScontoListinoAccessi)</f>
        <v>20</v>
      </c>
      <c r="G23" s="52">
        <f t="shared" si="0"/>
        <v>0</v>
      </c>
      <c r="H23" s="183">
        <v>1</v>
      </c>
      <c r="I23" s="55">
        <f t="shared" si="1"/>
        <v>0</v>
      </c>
      <c r="J23" s="56">
        <f>I23*'Grand Total'!$E$22</f>
        <v>0</v>
      </c>
      <c r="L23" s="155" t="s">
        <v>157</v>
      </c>
    </row>
    <row r="24" spans="1:12" x14ac:dyDescent="0.2">
      <c r="A24" s="8"/>
      <c r="B24" s="222" t="s">
        <v>220</v>
      </c>
      <c r="C24" s="223" t="s">
        <v>123</v>
      </c>
      <c r="D24" s="224">
        <v>11</v>
      </c>
      <c r="E24" s="217" t="s">
        <v>178</v>
      </c>
      <c r="F24" s="218">
        <f>410*(1-ScontoListinoAccessi)</f>
        <v>410</v>
      </c>
      <c r="G24" s="219">
        <f t="shared" si="0"/>
        <v>4510</v>
      </c>
      <c r="H24" s="220">
        <v>1</v>
      </c>
      <c r="I24" s="217">
        <f t="shared" si="1"/>
        <v>11</v>
      </c>
      <c r="J24" s="221">
        <f>I24*'Grand Total'!$E$22</f>
        <v>462</v>
      </c>
      <c r="L24" s="155" t="s">
        <v>157</v>
      </c>
    </row>
    <row r="25" spans="1:12" x14ac:dyDescent="0.2">
      <c r="A25" s="8"/>
      <c r="B25" s="222" t="s">
        <v>221</v>
      </c>
      <c r="C25" s="223" t="s">
        <v>123</v>
      </c>
      <c r="D25" s="224">
        <v>62</v>
      </c>
      <c r="E25" s="217" t="s">
        <v>178</v>
      </c>
      <c r="F25" s="218">
        <v>310</v>
      </c>
      <c r="G25" s="219">
        <f t="shared" si="0"/>
        <v>19220</v>
      </c>
      <c r="H25" s="220">
        <v>1</v>
      </c>
      <c r="I25" s="217">
        <f t="shared" si="1"/>
        <v>62</v>
      </c>
      <c r="J25" s="221">
        <f>I25*'Grand Total'!$E$22</f>
        <v>2604</v>
      </c>
      <c r="L25" s="155" t="s">
        <v>157</v>
      </c>
    </row>
    <row r="26" spans="1:12" x14ac:dyDescent="0.2">
      <c r="A26" s="8"/>
      <c r="B26" s="191"/>
      <c r="C26" s="179"/>
      <c r="D26" s="196"/>
      <c r="E26" s="55" t="s">
        <v>178</v>
      </c>
      <c r="F26" s="173"/>
      <c r="G26" s="52">
        <f t="shared" si="0"/>
        <v>0</v>
      </c>
      <c r="H26" s="183"/>
      <c r="I26" s="55">
        <f t="shared" si="1"/>
        <v>0</v>
      </c>
      <c r="J26" s="56">
        <f>I26*'Grand Total'!$E$22</f>
        <v>0</v>
      </c>
      <c r="L26" s="155" t="s">
        <v>157</v>
      </c>
    </row>
    <row r="27" spans="1:12" x14ac:dyDescent="0.2">
      <c r="A27" s="8"/>
      <c r="B27" s="222" t="s">
        <v>222</v>
      </c>
      <c r="C27" s="223" t="s">
        <v>123</v>
      </c>
      <c r="D27" s="224">
        <v>73</v>
      </c>
      <c r="E27" s="217" t="s">
        <v>147</v>
      </c>
      <c r="F27" s="218">
        <f>100*(1-ScontoListinoAccessi)</f>
        <v>100</v>
      </c>
      <c r="G27" s="219">
        <f t="shared" si="0"/>
        <v>7300</v>
      </c>
      <c r="H27" s="220">
        <v>1.5</v>
      </c>
      <c r="I27" s="217">
        <f t="shared" si="1"/>
        <v>109.5</v>
      </c>
      <c r="J27" s="221">
        <f>I27*'Grand Total'!$E$22</f>
        <v>4599</v>
      </c>
      <c r="L27" s="155" t="s">
        <v>157</v>
      </c>
    </row>
    <row r="28" spans="1:12" x14ac:dyDescent="0.2">
      <c r="A28" s="8"/>
      <c r="B28" s="191"/>
      <c r="C28" s="179"/>
      <c r="D28" s="180">
        <v>1</v>
      </c>
      <c r="E28" s="55" t="s">
        <v>179</v>
      </c>
      <c r="F28" s="173">
        <v>0</v>
      </c>
      <c r="G28" s="52">
        <f t="shared" si="0"/>
        <v>0</v>
      </c>
      <c r="H28" s="183">
        <v>16</v>
      </c>
      <c r="I28" s="55">
        <f t="shared" si="1"/>
        <v>16</v>
      </c>
      <c r="J28" s="56">
        <f>I28*'Grand Total'!$E$22</f>
        <v>672</v>
      </c>
      <c r="L28" s="155" t="s">
        <v>157</v>
      </c>
    </row>
    <row r="29" spans="1:12" x14ac:dyDescent="0.2">
      <c r="A29" s="8"/>
      <c r="B29" s="191"/>
      <c r="C29" s="179"/>
      <c r="D29" s="180">
        <v>1</v>
      </c>
      <c r="E29" s="55" t="s">
        <v>180</v>
      </c>
      <c r="F29" s="173">
        <v>0</v>
      </c>
      <c r="G29" s="52">
        <f t="shared" si="0"/>
        <v>0</v>
      </c>
      <c r="H29" s="183">
        <v>16</v>
      </c>
      <c r="I29" s="55">
        <f t="shared" si="1"/>
        <v>16</v>
      </c>
      <c r="J29" s="56">
        <f>I29*'Grand Total'!$E$22</f>
        <v>672</v>
      </c>
      <c r="L29" s="155" t="s">
        <v>157</v>
      </c>
    </row>
    <row r="30" spans="1:12" x14ac:dyDescent="0.2">
      <c r="A30" s="8"/>
      <c r="B30" s="88"/>
      <c r="C30" s="89"/>
      <c r="D30" s="180">
        <f>D27</f>
        <v>73</v>
      </c>
      <c r="E30" s="190" t="s">
        <v>223</v>
      </c>
      <c r="F30" s="173">
        <f>30*(1-ScontoListinoAccessi)</f>
        <v>30</v>
      </c>
      <c r="G30" s="52">
        <f t="shared" si="0"/>
        <v>2190</v>
      </c>
      <c r="H30" s="183">
        <v>0.3</v>
      </c>
      <c r="I30" s="55">
        <f t="shared" si="1"/>
        <v>21.9</v>
      </c>
      <c r="J30" s="56">
        <f>I30*'Grand Total'!$E$22</f>
        <v>919.8</v>
      </c>
      <c r="L30" s="155" t="s">
        <v>157</v>
      </c>
    </row>
    <row r="31" spans="1:12" x14ac:dyDescent="0.2">
      <c r="A31" s="8"/>
      <c r="B31" s="88"/>
      <c r="C31" s="89"/>
      <c r="D31" s="128"/>
      <c r="E31" s="55"/>
      <c r="F31" s="173"/>
      <c r="G31" s="52">
        <f t="shared" si="0"/>
        <v>0</v>
      </c>
      <c r="H31" s="183"/>
      <c r="I31" s="55">
        <f t="shared" si="1"/>
        <v>0</v>
      </c>
      <c r="J31" s="56">
        <f>I31*'Grand Total'!$E$22</f>
        <v>0</v>
      </c>
      <c r="L31" s="155" t="s">
        <v>157</v>
      </c>
    </row>
    <row r="32" spans="1:12" x14ac:dyDescent="0.2">
      <c r="A32" s="8"/>
      <c r="B32" s="88"/>
      <c r="C32" s="89"/>
      <c r="D32" s="128"/>
      <c r="E32" s="55"/>
      <c r="F32" s="173"/>
      <c r="G32" s="52">
        <f t="shared" si="0"/>
        <v>0</v>
      </c>
      <c r="H32" s="183"/>
      <c r="I32" s="55">
        <f t="shared" si="1"/>
        <v>0</v>
      </c>
      <c r="J32" s="56">
        <f>I32*'Grand Total'!$E$22</f>
        <v>0</v>
      </c>
      <c r="L32" s="155" t="s">
        <v>157</v>
      </c>
    </row>
    <row r="33" spans="1:17" x14ac:dyDescent="0.2">
      <c r="A33" s="8"/>
      <c r="B33" s="58" t="s">
        <v>88</v>
      </c>
      <c r="C33" s="49" t="s">
        <v>89</v>
      </c>
      <c r="D33" s="169">
        <v>1</v>
      </c>
      <c r="E33" s="51" t="s">
        <v>136</v>
      </c>
      <c r="F33" s="173"/>
      <c r="G33" s="52">
        <f t="shared" si="0"/>
        <v>0</v>
      </c>
      <c r="H33" s="183">
        <v>60</v>
      </c>
      <c r="I33" s="55">
        <f t="shared" si="1"/>
        <v>60</v>
      </c>
      <c r="J33" s="56">
        <f>I33*'Grand Total'!$E$22</f>
        <v>2520</v>
      </c>
      <c r="L33" s="155" t="s">
        <v>157</v>
      </c>
    </row>
    <row r="34" spans="1:17" x14ac:dyDescent="0.2">
      <c r="A34" s="8"/>
      <c r="B34" s="58" t="s">
        <v>88</v>
      </c>
      <c r="C34" s="49" t="s">
        <v>89</v>
      </c>
      <c r="D34" s="169">
        <v>1</v>
      </c>
      <c r="E34" s="51" t="s">
        <v>91</v>
      </c>
      <c r="F34" s="173"/>
      <c r="G34" s="52">
        <f t="shared" si="0"/>
        <v>0</v>
      </c>
      <c r="H34" s="183">
        <v>30</v>
      </c>
      <c r="I34" s="55">
        <f t="shared" si="1"/>
        <v>30</v>
      </c>
      <c r="J34" s="56">
        <f>I34*'Grand Total'!$E$22</f>
        <v>1260</v>
      </c>
      <c r="L34" s="155" t="s">
        <v>157</v>
      </c>
    </row>
    <row r="35" spans="1:17" x14ac:dyDescent="0.2">
      <c r="A35" s="8"/>
      <c r="B35" s="58" t="s">
        <v>88</v>
      </c>
      <c r="C35" s="49" t="s">
        <v>89</v>
      </c>
      <c r="D35" s="169">
        <v>1</v>
      </c>
      <c r="E35" s="51" t="s">
        <v>92</v>
      </c>
      <c r="F35" s="173"/>
      <c r="G35" s="52">
        <f t="shared" si="0"/>
        <v>0</v>
      </c>
      <c r="H35" s="183">
        <v>10</v>
      </c>
      <c r="I35" s="55">
        <f t="shared" si="1"/>
        <v>10</v>
      </c>
      <c r="J35" s="56">
        <f>I35*'Grand Total'!$E$22</f>
        <v>420</v>
      </c>
      <c r="L35" s="155" t="s">
        <v>157</v>
      </c>
    </row>
    <row r="36" spans="1:17" x14ac:dyDescent="0.2">
      <c r="A36" s="8"/>
      <c r="B36" s="58"/>
      <c r="C36" s="49"/>
      <c r="D36" s="169">
        <v>1</v>
      </c>
      <c r="E36" s="51" t="s">
        <v>137</v>
      </c>
      <c r="F36" s="173"/>
      <c r="G36" s="52">
        <f t="shared" si="0"/>
        <v>0</v>
      </c>
      <c r="H36" s="183">
        <v>38</v>
      </c>
      <c r="I36" s="55">
        <f t="shared" si="1"/>
        <v>38</v>
      </c>
      <c r="J36" s="56">
        <f>I36*'Grand Total'!$E$22</f>
        <v>1596</v>
      </c>
      <c r="L36" s="155" t="s">
        <v>157</v>
      </c>
    </row>
    <row r="37" spans="1:17" x14ac:dyDescent="0.2">
      <c r="A37" s="8"/>
      <c r="B37" s="58"/>
      <c r="C37" s="49"/>
      <c r="D37" s="127"/>
      <c r="E37" s="51"/>
      <c r="F37" s="173"/>
      <c r="G37" s="52">
        <f t="shared" si="0"/>
        <v>0</v>
      </c>
      <c r="H37" s="87"/>
      <c r="I37" s="55">
        <f t="shared" si="1"/>
        <v>0</v>
      </c>
      <c r="J37" s="56">
        <f>I37*'Grand Total'!$E$22</f>
        <v>0</v>
      </c>
      <c r="L37" s="155" t="s">
        <v>157</v>
      </c>
    </row>
    <row r="38" spans="1:17" x14ac:dyDescent="0.2">
      <c r="A38" s="8"/>
      <c r="B38" s="58"/>
      <c r="C38" s="49"/>
      <c r="D38" s="127"/>
      <c r="E38" s="51"/>
      <c r="F38" s="173"/>
      <c r="G38" s="52">
        <f t="shared" si="0"/>
        <v>0</v>
      </c>
      <c r="H38" s="87"/>
      <c r="I38" s="55">
        <f t="shared" si="1"/>
        <v>0</v>
      </c>
      <c r="J38" s="56">
        <f>I38*'Grand Total'!$E$22</f>
        <v>0</v>
      </c>
      <c r="L38" s="155" t="s">
        <v>157</v>
      </c>
    </row>
    <row r="39" spans="1:17" x14ac:dyDescent="0.2">
      <c r="A39" s="8"/>
      <c r="B39" s="58"/>
      <c r="C39" s="49"/>
      <c r="D39" s="127"/>
      <c r="E39" s="51"/>
      <c r="F39" s="173"/>
      <c r="G39" s="52">
        <f t="shared" si="0"/>
        <v>0</v>
      </c>
      <c r="H39" s="87"/>
      <c r="I39" s="55">
        <f t="shared" si="1"/>
        <v>0</v>
      </c>
      <c r="J39" s="56">
        <f>I39*'Grand Total'!$E$22</f>
        <v>0</v>
      </c>
    </row>
    <row r="40" spans="1:17" x14ac:dyDescent="0.2">
      <c r="A40" s="8"/>
      <c r="B40" s="58"/>
      <c r="C40" s="137"/>
      <c r="D40" s="92"/>
      <c r="E40" s="168" t="s">
        <v>174</v>
      </c>
      <c r="F40" s="52"/>
      <c r="G40" s="93"/>
      <c r="H40" s="225">
        <f>SUM(H16:H39)</f>
        <v>186.3</v>
      </c>
      <c r="I40" s="225">
        <f>SUM(I16:I39)</f>
        <v>828.9</v>
      </c>
      <c r="J40" s="55"/>
    </row>
    <row r="41" spans="1:17" ht="13.5" thickBot="1" x14ac:dyDescent="0.25">
      <c r="A41" s="8"/>
      <c r="B41" s="91"/>
      <c r="C41" s="89"/>
      <c r="D41" s="90"/>
      <c r="E41" s="60" t="s">
        <v>152</v>
      </c>
      <c r="F41" s="95"/>
      <c r="G41" s="96"/>
      <c r="H41" s="94"/>
      <c r="I41" s="55"/>
      <c r="J41" s="97"/>
      <c r="L41" s="164" t="s">
        <v>168</v>
      </c>
      <c r="M41" s="164"/>
      <c r="N41" s="164"/>
      <c r="O41" s="164"/>
      <c r="P41" s="164"/>
      <c r="Q41" s="164"/>
    </row>
    <row r="42" spans="1:17" ht="13.5" thickBot="1" x14ac:dyDescent="0.25">
      <c r="A42" s="8"/>
      <c r="B42" s="98"/>
      <c r="C42" s="98"/>
      <c r="D42" s="98"/>
      <c r="E42" s="99" t="s">
        <v>0</v>
      </c>
      <c r="F42" s="66"/>
      <c r="G42" s="67"/>
      <c r="H42" s="68"/>
      <c r="I42" s="69"/>
      <c r="J42" s="118">
        <f>SUM(G16:G39)+SUM(J16:J39)</f>
        <v>109143.8</v>
      </c>
    </row>
    <row r="43" spans="1:17" s="4" customFormat="1" ht="13.5" thickBot="1" x14ac:dyDescent="0.25">
      <c r="A43" s="62"/>
      <c r="B43" s="100"/>
      <c r="C43" s="100"/>
      <c r="D43" s="100"/>
      <c r="E43" s="101"/>
      <c r="F43" s="102"/>
      <c r="G43" s="103"/>
      <c r="H43" s="104"/>
      <c r="I43" s="105"/>
      <c r="J43" s="105"/>
      <c r="K43" s="226">
        <f>I40*'Grand Total'!E22</f>
        <v>34813.799999999996</v>
      </c>
    </row>
    <row r="44" spans="1:17" ht="36" customHeight="1" thickBot="1" x14ac:dyDescent="0.25">
      <c r="A44" s="8"/>
      <c r="B44" s="44" t="s">
        <v>2</v>
      </c>
      <c r="C44" s="44" t="s">
        <v>3</v>
      </c>
      <c r="D44" s="77" t="s">
        <v>1</v>
      </c>
      <c r="E44" s="45" t="s">
        <v>139</v>
      </c>
      <c r="F44" s="46" t="s">
        <v>130</v>
      </c>
      <c r="G44" s="46" t="s">
        <v>12</v>
      </c>
      <c r="H44" s="47" t="s">
        <v>9</v>
      </c>
      <c r="I44" s="47" t="s">
        <v>10</v>
      </c>
      <c r="J44" s="47" t="s">
        <v>11</v>
      </c>
      <c r="L44" s="226">
        <f>K43+CCTV!K53</f>
        <v>90728.4</v>
      </c>
      <c r="M44" s="216" t="s">
        <v>226</v>
      </c>
    </row>
    <row r="45" spans="1:17" x14ac:dyDescent="0.2">
      <c r="A45" s="8"/>
      <c r="B45" s="88"/>
      <c r="C45" s="89"/>
      <c r="D45" s="180">
        <v>85</v>
      </c>
      <c r="E45" s="181" t="s">
        <v>224</v>
      </c>
      <c r="F45" s="198">
        <v>65</v>
      </c>
      <c r="G45" s="182">
        <f>+D45*F45</f>
        <v>5525</v>
      </c>
      <c r="H45" s="183">
        <v>0.3</v>
      </c>
      <c r="I45" s="55">
        <f>H45*D45</f>
        <v>25.5</v>
      </c>
      <c r="J45" s="56">
        <f>I45*'Grand Total'!$E$22</f>
        <v>1071</v>
      </c>
    </row>
    <row r="46" spans="1:17" x14ac:dyDescent="0.2">
      <c r="A46" s="8"/>
      <c r="B46" s="88"/>
      <c r="C46" s="89"/>
      <c r="D46" s="180">
        <v>0</v>
      </c>
      <c r="E46" s="181" t="s">
        <v>225</v>
      </c>
      <c r="F46" s="198">
        <v>2.8</v>
      </c>
      <c r="G46" s="182">
        <f>+D46*F46</f>
        <v>0</v>
      </c>
      <c r="H46" s="183"/>
      <c r="I46" s="55">
        <f t="shared" ref="I46:I49" si="4">H46*D46</f>
        <v>0</v>
      </c>
      <c r="J46" s="56">
        <f>I46*'Grand Total'!$E$22</f>
        <v>0</v>
      </c>
    </row>
    <row r="47" spans="1:17" x14ac:dyDescent="0.2">
      <c r="A47" s="8"/>
      <c r="B47" s="88"/>
      <c r="C47" s="89"/>
      <c r="D47" s="128"/>
      <c r="E47" s="113"/>
      <c r="F47" s="32"/>
      <c r="G47" s="52">
        <f t="shared" ref="G47:G49" si="5">+D47*F47</f>
        <v>0</v>
      </c>
      <c r="H47" s="87"/>
      <c r="I47" s="55">
        <f t="shared" si="4"/>
        <v>0</v>
      </c>
      <c r="J47" s="56">
        <f>I47*'Grand Total'!$E$22</f>
        <v>0</v>
      </c>
    </row>
    <row r="48" spans="1:17" x14ac:dyDescent="0.2">
      <c r="A48" s="8"/>
      <c r="B48" s="88"/>
      <c r="C48" s="89"/>
      <c r="D48" s="128"/>
      <c r="E48" s="113"/>
      <c r="F48" s="32"/>
      <c r="G48" s="52">
        <f t="shared" si="5"/>
        <v>0</v>
      </c>
      <c r="H48" s="87"/>
      <c r="I48" s="55">
        <f t="shared" si="4"/>
        <v>0</v>
      </c>
      <c r="J48" s="56">
        <f>I48*'Grand Total'!$E$22</f>
        <v>0</v>
      </c>
    </row>
    <row r="49" spans="1:10" x14ac:dyDescent="0.2">
      <c r="A49" s="8"/>
      <c r="B49" s="88"/>
      <c r="C49" s="89"/>
      <c r="D49" s="128"/>
      <c r="E49" s="113"/>
      <c r="F49" s="32"/>
      <c r="G49" s="52">
        <f t="shared" si="5"/>
        <v>0</v>
      </c>
      <c r="H49" s="87"/>
      <c r="I49" s="55">
        <f t="shared" si="4"/>
        <v>0</v>
      </c>
      <c r="J49" s="56">
        <f>I49*'Grand Total'!$E$22</f>
        <v>0</v>
      </c>
    </row>
    <row r="50" spans="1:10" x14ac:dyDescent="0.2">
      <c r="A50" s="8"/>
      <c r="B50" s="88"/>
      <c r="C50" s="89"/>
      <c r="D50" s="128"/>
      <c r="E50" s="113"/>
      <c r="F50" s="32"/>
      <c r="G50" s="52">
        <f>+D50*F50</f>
        <v>0</v>
      </c>
      <c r="H50" s="87"/>
      <c r="I50" s="55">
        <f>H50*D50</f>
        <v>0</v>
      </c>
      <c r="J50" s="56">
        <f>I50*'Grand Total'!$E$22</f>
        <v>0</v>
      </c>
    </row>
    <row r="51" spans="1:10" ht="13.5" thickBot="1" x14ac:dyDescent="0.25">
      <c r="A51" s="8"/>
      <c r="B51" s="106"/>
      <c r="C51" s="105"/>
      <c r="D51" s="106"/>
      <c r="E51" s="107"/>
      <c r="F51" s="93"/>
      <c r="G51" s="108"/>
      <c r="H51" s="59"/>
      <c r="I51" s="106"/>
      <c r="J51" s="93"/>
    </row>
    <row r="52" spans="1:10" ht="13.5" thickBot="1" x14ac:dyDescent="0.25">
      <c r="A52" s="8"/>
      <c r="B52" s="80"/>
      <c r="C52" s="109"/>
      <c r="D52" s="80"/>
      <c r="E52" s="110" t="s">
        <v>15</v>
      </c>
      <c r="F52" s="111"/>
      <c r="G52" s="67"/>
      <c r="H52" s="68"/>
      <c r="I52" s="69"/>
      <c r="J52" s="70">
        <f>SUM(G45:G50)+SUM(J45:J50)</f>
        <v>6596</v>
      </c>
    </row>
    <row r="53" spans="1:10" x14ac:dyDescent="0.2">
      <c r="A53" s="8"/>
      <c r="B53" s="8"/>
      <c r="C53" s="8"/>
      <c r="D53" s="8"/>
      <c r="E53" s="8"/>
      <c r="F53" s="23"/>
      <c r="G53" s="23"/>
      <c r="H53" s="8"/>
      <c r="I53" s="8"/>
      <c r="J53" s="8"/>
    </row>
    <row r="54" spans="1:10" x14ac:dyDescent="0.2">
      <c r="A54" s="8"/>
      <c r="B54" s="8"/>
      <c r="C54" s="8"/>
      <c r="D54" s="8"/>
      <c r="E54" s="8"/>
      <c r="F54" s="23"/>
      <c r="G54" s="23"/>
      <c r="H54" s="8"/>
      <c r="I54" s="8"/>
      <c r="J54" s="8"/>
    </row>
  </sheetData>
  <sheetProtection selectLockedCells="1"/>
  <mergeCells count="6">
    <mergeCell ref="E6:G6"/>
    <mergeCell ref="E1:G1"/>
    <mergeCell ref="E2:G2"/>
    <mergeCell ref="E3:G3"/>
    <mergeCell ref="E4:G4"/>
    <mergeCell ref="E5:G5"/>
  </mergeCells>
  <pageMargins left="1.5354330708661419" right="0.74803149606299213" top="0.39370078740157483" bottom="0.39370078740157483" header="0" footer="0"/>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7F42D-8B38-4EE1-ACA5-C1E1BA9EC62D}">
  <sheetPr>
    <pageSetUpPr fitToPage="1"/>
  </sheetPr>
  <dimension ref="A1:J48"/>
  <sheetViews>
    <sheetView topLeftCell="A10" zoomScaleNormal="100" workbookViewId="0">
      <selection activeCell="O27" sqref="O27"/>
    </sheetView>
  </sheetViews>
  <sheetFormatPr defaultColWidth="11.42578125" defaultRowHeight="12.75" x14ac:dyDescent="0.2"/>
  <cols>
    <col min="1" max="1" width="3.7109375" customWidth="1"/>
    <col min="2" max="3" width="11.7109375" customWidth="1"/>
    <col min="4" max="4" width="6.7109375" customWidth="1"/>
    <col min="5" max="5" width="60.7109375" customWidth="1"/>
    <col min="6" max="7" width="17.140625" style="22" customWidth="1"/>
    <col min="8" max="8" width="10.7109375" customWidth="1"/>
    <col min="9" max="9" width="9.140625" customWidth="1"/>
    <col min="10" max="10" width="15.7109375" customWidth="1"/>
  </cols>
  <sheetData>
    <row r="1" spans="1:10" x14ac:dyDescent="0.2">
      <c r="A1" s="8"/>
      <c r="B1" s="8"/>
      <c r="C1" s="8"/>
      <c r="D1" s="8"/>
      <c r="E1" s="213" t="str">
        <f>'Grand Total'!D1</f>
        <v>Zalando Quotation sheet Template</v>
      </c>
      <c r="F1" s="207"/>
      <c r="G1" s="208"/>
      <c r="H1" s="8"/>
      <c r="I1" s="8"/>
      <c r="J1" s="8"/>
    </row>
    <row r="2" spans="1:10" ht="21" customHeight="1" x14ac:dyDescent="0.25">
      <c r="A2" s="8"/>
      <c r="B2" s="9"/>
      <c r="C2" s="9"/>
      <c r="D2" s="9"/>
      <c r="E2" s="209"/>
      <c r="F2" s="201"/>
      <c r="G2" s="202"/>
      <c r="H2" s="8"/>
      <c r="I2" s="8"/>
      <c r="J2" s="8"/>
    </row>
    <row r="3" spans="1:10" ht="12.75" customHeight="1" x14ac:dyDescent="0.2">
      <c r="A3" s="8"/>
      <c r="B3" s="8"/>
      <c r="C3" s="8"/>
      <c r="D3" s="8"/>
      <c r="E3" s="200" t="str">
        <f>'Grand Total'!D3</f>
        <v>QUOTATION ZALANDO GF6 Verona Italy</v>
      </c>
      <c r="F3" s="214"/>
      <c r="G3" s="215"/>
      <c r="H3" s="8"/>
      <c r="I3" s="8"/>
      <c r="J3" s="8"/>
    </row>
    <row r="4" spans="1:10" ht="18" x14ac:dyDescent="0.25">
      <c r="A4" s="8"/>
      <c r="B4" s="10"/>
      <c r="C4" s="10"/>
      <c r="D4" s="10"/>
      <c r="E4" s="200"/>
      <c r="F4" s="201"/>
      <c r="G4" s="202"/>
      <c r="H4" s="8"/>
      <c r="I4" s="8"/>
      <c r="J4" s="8"/>
    </row>
    <row r="5" spans="1:10" x14ac:dyDescent="0.2">
      <c r="A5" s="8"/>
      <c r="B5" s="11"/>
      <c r="C5" s="11"/>
      <c r="D5" s="11"/>
      <c r="E5" s="200" t="str">
        <f>'Grand Total'!D7</f>
        <v>Date: 17-6-2019</v>
      </c>
      <c r="F5" s="201"/>
      <c r="G5" s="202"/>
      <c r="H5" s="8"/>
      <c r="I5" s="8"/>
      <c r="J5" s="8"/>
    </row>
    <row r="6" spans="1:10" ht="13.5" thickBot="1" x14ac:dyDescent="0.25">
      <c r="A6" s="8"/>
      <c r="B6" s="11"/>
      <c r="C6" s="11"/>
      <c r="D6" s="11"/>
      <c r="E6" s="210"/>
      <c r="F6" s="211"/>
      <c r="G6" s="212"/>
      <c r="H6" s="8"/>
      <c r="I6" s="8"/>
      <c r="J6" s="8"/>
    </row>
    <row r="7" spans="1:10" x14ac:dyDescent="0.2">
      <c r="A7" s="8"/>
      <c r="B7" s="11"/>
      <c r="C7" s="11"/>
      <c r="D7" s="11"/>
      <c r="E7" s="17"/>
      <c r="F7" s="23"/>
      <c r="G7" s="23"/>
      <c r="H7" s="8"/>
      <c r="I7" s="8"/>
      <c r="J7" s="8"/>
    </row>
    <row r="8" spans="1:10" ht="13.5" thickBot="1" x14ac:dyDescent="0.25">
      <c r="A8" s="8"/>
      <c r="B8" s="12"/>
      <c r="C8" s="12"/>
      <c r="D8" s="12"/>
      <c r="E8" s="11"/>
      <c r="F8" s="23"/>
      <c r="G8" s="23"/>
      <c r="H8" s="8"/>
      <c r="I8" s="8"/>
      <c r="J8" s="8"/>
    </row>
    <row r="9" spans="1:10" ht="36" customHeight="1" thickBot="1" x14ac:dyDescent="0.25">
      <c r="A9" s="8"/>
      <c r="B9" s="44" t="s">
        <v>2</v>
      </c>
      <c r="C9" s="44" t="s">
        <v>3</v>
      </c>
      <c r="D9" s="44" t="s">
        <v>1</v>
      </c>
      <c r="E9" s="45" t="s">
        <v>176</v>
      </c>
      <c r="F9" s="46" t="s">
        <v>130</v>
      </c>
      <c r="G9" s="46" t="s">
        <v>12</v>
      </c>
      <c r="H9" s="47" t="s">
        <v>9</v>
      </c>
      <c r="I9" s="47" t="s">
        <v>10</v>
      </c>
      <c r="J9" s="47" t="s">
        <v>11</v>
      </c>
    </row>
    <row r="10" spans="1:10" x14ac:dyDescent="0.2">
      <c r="A10" s="8"/>
      <c r="B10" s="88"/>
      <c r="C10" s="89"/>
      <c r="D10" s="128"/>
      <c r="E10" s="135"/>
      <c r="F10" s="85"/>
      <c r="G10" s="52">
        <f t="shared" ref="G10:G33" si="0">+D10*F10</f>
        <v>0</v>
      </c>
      <c r="H10" s="86"/>
      <c r="I10" s="53">
        <f t="shared" ref="I10:I33" si="1">H10*D10</f>
        <v>0</v>
      </c>
      <c r="J10" s="54">
        <f>I10*'Grand Total'!$E$22</f>
        <v>0</v>
      </c>
    </row>
    <row r="11" spans="1:10" x14ac:dyDescent="0.2">
      <c r="A11" s="8"/>
      <c r="B11" s="88"/>
      <c r="C11" s="89"/>
      <c r="D11" s="128"/>
      <c r="E11" s="113"/>
      <c r="F11" s="85"/>
      <c r="G11" s="52">
        <f t="shared" si="0"/>
        <v>0</v>
      </c>
      <c r="H11" s="87"/>
      <c r="I11" s="55">
        <f t="shared" si="1"/>
        <v>0</v>
      </c>
      <c r="J11" s="56">
        <f>I11*'Grand Total'!$E$22</f>
        <v>0</v>
      </c>
    </row>
    <row r="12" spans="1:10" x14ac:dyDescent="0.2">
      <c r="A12" s="8"/>
      <c r="B12" s="88"/>
      <c r="C12" s="89"/>
      <c r="D12" s="128"/>
      <c r="E12" s="113"/>
      <c r="F12" s="85"/>
      <c r="G12" s="52"/>
      <c r="H12" s="87"/>
      <c r="I12" s="55"/>
      <c r="J12" s="56"/>
    </row>
    <row r="13" spans="1:10" x14ac:dyDescent="0.2">
      <c r="A13" s="8"/>
      <c r="B13" s="88"/>
      <c r="C13" s="89"/>
      <c r="D13" s="128"/>
      <c r="E13" s="136"/>
      <c r="F13" s="85"/>
      <c r="G13" s="52">
        <f t="shared" si="0"/>
        <v>0</v>
      </c>
      <c r="H13" s="87"/>
      <c r="I13" s="55">
        <f t="shared" si="1"/>
        <v>0</v>
      </c>
      <c r="J13" s="56">
        <f>I13*'Grand Total'!$E$22</f>
        <v>0</v>
      </c>
    </row>
    <row r="14" spans="1:10" x14ac:dyDescent="0.2">
      <c r="A14" s="8"/>
      <c r="B14" s="48"/>
      <c r="C14" s="89"/>
      <c r="D14" s="128"/>
      <c r="E14" s="136"/>
      <c r="F14" s="85"/>
      <c r="G14" s="52">
        <f t="shared" si="0"/>
        <v>0</v>
      </c>
      <c r="H14" s="87"/>
      <c r="I14" s="55">
        <f t="shared" si="1"/>
        <v>0</v>
      </c>
      <c r="J14" s="56">
        <f>I14*'Grand Total'!$E$22</f>
        <v>0</v>
      </c>
    </row>
    <row r="15" spans="1:10" x14ac:dyDescent="0.2">
      <c r="A15" s="8"/>
      <c r="B15" s="88"/>
      <c r="C15" s="89"/>
      <c r="D15" s="128"/>
      <c r="E15" s="136"/>
      <c r="F15" s="85"/>
      <c r="G15" s="52">
        <f t="shared" si="0"/>
        <v>0</v>
      </c>
      <c r="H15" s="87"/>
      <c r="I15" s="55">
        <f t="shared" si="1"/>
        <v>0</v>
      </c>
      <c r="J15" s="56">
        <f>I15*'Grand Total'!$E$22</f>
        <v>0</v>
      </c>
    </row>
    <row r="16" spans="1:10" x14ac:dyDescent="0.2">
      <c r="A16" s="8"/>
      <c r="B16" s="88"/>
      <c r="C16" s="89"/>
      <c r="D16" s="128"/>
      <c r="E16" s="136"/>
      <c r="F16" s="85"/>
      <c r="G16" s="52">
        <f t="shared" si="0"/>
        <v>0</v>
      </c>
      <c r="H16" s="87"/>
      <c r="I16" s="55">
        <f t="shared" si="1"/>
        <v>0</v>
      </c>
      <c r="J16" s="56">
        <f>I16*'Grand Total'!$E$22</f>
        <v>0</v>
      </c>
    </row>
    <row r="17" spans="1:10" x14ac:dyDescent="0.2">
      <c r="A17" s="8"/>
      <c r="B17" s="88"/>
      <c r="C17" s="89"/>
      <c r="D17" s="128"/>
      <c r="E17" s="136"/>
      <c r="F17" s="85"/>
      <c r="G17" s="52">
        <f t="shared" si="0"/>
        <v>0</v>
      </c>
      <c r="H17" s="87"/>
      <c r="I17" s="55">
        <f t="shared" si="1"/>
        <v>0</v>
      </c>
      <c r="J17" s="56">
        <f>I17*'Grand Total'!$E$22</f>
        <v>0</v>
      </c>
    </row>
    <row r="18" spans="1:10" x14ac:dyDescent="0.2">
      <c r="A18" s="8"/>
      <c r="B18" s="88"/>
      <c r="C18" s="89"/>
      <c r="D18" s="128"/>
      <c r="E18" s="55"/>
      <c r="F18" s="85"/>
      <c r="G18" s="52">
        <f t="shared" si="0"/>
        <v>0</v>
      </c>
      <c r="H18" s="87"/>
      <c r="I18" s="55">
        <f t="shared" si="1"/>
        <v>0</v>
      </c>
      <c r="J18" s="56">
        <f>I18*'Grand Total'!$E$22</f>
        <v>0</v>
      </c>
    </row>
    <row r="19" spans="1:10" x14ac:dyDescent="0.2">
      <c r="A19" s="8"/>
      <c r="B19" s="88"/>
      <c r="C19" s="89"/>
      <c r="D19" s="128"/>
      <c r="E19" s="55"/>
      <c r="F19" s="85"/>
      <c r="G19" s="52">
        <f t="shared" si="0"/>
        <v>0</v>
      </c>
      <c r="H19" s="87"/>
      <c r="I19" s="55">
        <f t="shared" si="1"/>
        <v>0</v>
      </c>
      <c r="J19" s="56">
        <f>I19*'Grand Total'!$E$22</f>
        <v>0</v>
      </c>
    </row>
    <row r="20" spans="1:10" x14ac:dyDescent="0.2">
      <c r="A20" s="8"/>
      <c r="B20" s="88"/>
      <c r="C20" s="89"/>
      <c r="D20" s="128"/>
      <c r="E20" s="55"/>
      <c r="F20" s="85"/>
      <c r="G20" s="52">
        <f t="shared" si="0"/>
        <v>0</v>
      </c>
      <c r="H20" s="87"/>
      <c r="I20" s="55">
        <f t="shared" si="1"/>
        <v>0</v>
      </c>
      <c r="J20" s="56">
        <f>I20*'Grand Total'!$E$22</f>
        <v>0</v>
      </c>
    </row>
    <row r="21" spans="1:10" x14ac:dyDescent="0.2">
      <c r="A21" s="8"/>
      <c r="B21" s="88"/>
      <c r="C21" s="89"/>
      <c r="D21" s="128"/>
      <c r="E21" s="55"/>
      <c r="F21" s="85"/>
      <c r="G21" s="52">
        <f t="shared" si="0"/>
        <v>0</v>
      </c>
      <c r="H21" s="87"/>
      <c r="I21" s="55">
        <f t="shared" si="1"/>
        <v>0</v>
      </c>
      <c r="J21" s="56">
        <f>I21*'Grand Total'!$E$22</f>
        <v>0</v>
      </c>
    </row>
    <row r="22" spans="1:10" x14ac:dyDescent="0.2">
      <c r="A22" s="8"/>
      <c r="B22" s="88"/>
      <c r="C22" s="89"/>
      <c r="D22" s="128"/>
      <c r="E22" s="55"/>
      <c r="F22" s="85"/>
      <c r="G22" s="52">
        <f t="shared" si="0"/>
        <v>0</v>
      </c>
      <c r="H22" s="87"/>
      <c r="I22" s="55">
        <f t="shared" si="1"/>
        <v>0</v>
      </c>
      <c r="J22" s="56">
        <f>I22*'Grand Total'!$E$22</f>
        <v>0</v>
      </c>
    </row>
    <row r="23" spans="1:10" x14ac:dyDescent="0.2">
      <c r="A23" s="8"/>
      <c r="B23" s="88"/>
      <c r="C23" s="89"/>
      <c r="D23" s="128"/>
      <c r="E23" s="55"/>
      <c r="F23" s="85"/>
      <c r="G23" s="52">
        <f t="shared" si="0"/>
        <v>0</v>
      </c>
      <c r="H23" s="87"/>
      <c r="I23" s="55">
        <f t="shared" si="1"/>
        <v>0</v>
      </c>
      <c r="J23" s="56">
        <f>I23*'Grand Total'!$E$22</f>
        <v>0</v>
      </c>
    </row>
    <row r="24" spans="1:10" x14ac:dyDescent="0.2">
      <c r="A24" s="8"/>
      <c r="B24" s="88"/>
      <c r="C24" s="89"/>
      <c r="D24" s="128"/>
      <c r="E24" s="55"/>
      <c r="F24" s="85"/>
      <c r="G24" s="52">
        <f t="shared" si="0"/>
        <v>0</v>
      </c>
      <c r="H24" s="87"/>
      <c r="I24" s="55">
        <f t="shared" si="1"/>
        <v>0</v>
      </c>
      <c r="J24" s="56">
        <f>I24*'Grand Total'!$E$22</f>
        <v>0</v>
      </c>
    </row>
    <row r="25" spans="1:10" x14ac:dyDescent="0.2">
      <c r="A25" s="8"/>
      <c r="B25" s="88"/>
      <c r="C25" s="89"/>
      <c r="D25" s="128"/>
      <c r="E25" s="55"/>
      <c r="F25" s="85"/>
      <c r="G25" s="52">
        <f t="shared" si="0"/>
        <v>0</v>
      </c>
      <c r="H25" s="87"/>
      <c r="I25" s="55">
        <f t="shared" si="1"/>
        <v>0</v>
      </c>
      <c r="J25" s="56">
        <f>I25*'Grand Total'!$E$22</f>
        <v>0</v>
      </c>
    </row>
    <row r="26" spans="1:10" x14ac:dyDescent="0.2">
      <c r="A26" s="8"/>
      <c r="B26" s="88"/>
      <c r="C26" s="89"/>
      <c r="D26" s="128"/>
      <c r="E26" s="55"/>
      <c r="F26" s="85"/>
      <c r="G26" s="52">
        <f t="shared" si="0"/>
        <v>0</v>
      </c>
      <c r="H26" s="87"/>
      <c r="I26" s="55">
        <f t="shared" si="1"/>
        <v>0</v>
      </c>
      <c r="J26" s="56">
        <f>I26*'Grand Total'!$E$22</f>
        <v>0</v>
      </c>
    </row>
    <row r="27" spans="1:10" x14ac:dyDescent="0.2">
      <c r="A27" s="8"/>
      <c r="B27" s="58"/>
      <c r="C27" s="49"/>
      <c r="D27" s="127"/>
      <c r="E27" s="51"/>
      <c r="F27" s="85"/>
      <c r="G27" s="52">
        <f t="shared" si="0"/>
        <v>0</v>
      </c>
      <c r="H27" s="87"/>
      <c r="I27" s="55">
        <f t="shared" si="1"/>
        <v>0</v>
      </c>
      <c r="J27" s="56">
        <f>I27*'Grand Total'!$E$22</f>
        <v>0</v>
      </c>
    </row>
    <row r="28" spans="1:10" x14ac:dyDescent="0.2">
      <c r="A28" s="8"/>
      <c r="B28" s="58"/>
      <c r="C28" s="49"/>
      <c r="D28" s="127"/>
      <c r="E28" s="51"/>
      <c r="F28" s="85"/>
      <c r="G28" s="52">
        <f t="shared" si="0"/>
        <v>0</v>
      </c>
      <c r="H28" s="87"/>
      <c r="I28" s="55">
        <f t="shared" si="1"/>
        <v>0</v>
      </c>
      <c r="J28" s="56">
        <f>I28*'Grand Total'!$E$22</f>
        <v>0</v>
      </c>
    </row>
    <row r="29" spans="1:10" x14ac:dyDescent="0.2">
      <c r="A29" s="8"/>
      <c r="B29" s="58"/>
      <c r="C29" s="49"/>
      <c r="D29" s="127"/>
      <c r="E29" s="51"/>
      <c r="F29" s="85"/>
      <c r="G29" s="52">
        <f t="shared" si="0"/>
        <v>0</v>
      </c>
      <c r="H29" s="87"/>
      <c r="I29" s="55">
        <f t="shared" si="1"/>
        <v>0</v>
      </c>
      <c r="J29" s="56">
        <f>I29*'Grand Total'!$E$22</f>
        <v>0</v>
      </c>
    </row>
    <row r="30" spans="1:10" x14ac:dyDescent="0.2">
      <c r="A30" s="8"/>
      <c r="B30" s="58"/>
      <c r="C30" s="49"/>
      <c r="D30" s="127"/>
      <c r="E30" s="51"/>
      <c r="F30" s="85"/>
      <c r="G30" s="52">
        <f t="shared" si="0"/>
        <v>0</v>
      </c>
      <c r="H30" s="87"/>
      <c r="I30" s="55">
        <f t="shared" si="1"/>
        <v>0</v>
      </c>
      <c r="J30" s="56">
        <f>I30*'Grand Total'!$E$22</f>
        <v>0</v>
      </c>
    </row>
    <row r="31" spans="1:10" x14ac:dyDescent="0.2">
      <c r="A31" s="8"/>
      <c r="B31" s="58"/>
      <c r="C31" s="49"/>
      <c r="D31" s="127"/>
      <c r="E31" s="51"/>
      <c r="F31" s="85"/>
      <c r="G31" s="52">
        <f t="shared" si="0"/>
        <v>0</v>
      </c>
      <c r="H31" s="87"/>
      <c r="I31" s="55">
        <f t="shared" si="1"/>
        <v>0</v>
      </c>
      <c r="J31" s="56">
        <f>I31*'Grand Total'!$E$22</f>
        <v>0</v>
      </c>
    </row>
    <row r="32" spans="1:10" x14ac:dyDescent="0.2">
      <c r="A32" s="8"/>
      <c r="B32" s="58"/>
      <c r="C32" s="49"/>
      <c r="D32" s="127"/>
      <c r="E32" s="51"/>
      <c r="F32" s="85"/>
      <c r="G32" s="52">
        <f t="shared" si="0"/>
        <v>0</v>
      </c>
      <c r="H32" s="87"/>
      <c r="I32" s="55">
        <f t="shared" si="1"/>
        <v>0</v>
      </c>
      <c r="J32" s="56">
        <f>I32*'Grand Total'!$E$22</f>
        <v>0</v>
      </c>
    </row>
    <row r="33" spans="1:10" x14ac:dyDescent="0.2">
      <c r="A33" s="8"/>
      <c r="B33" s="58"/>
      <c r="C33" s="49"/>
      <c r="D33" s="127"/>
      <c r="E33" s="51"/>
      <c r="F33" s="85"/>
      <c r="G33" s="52">
        <f t="shared" si="0"/>
        <v>0</v>
      </c>
      <c r="H33" s="87"/>
      <c r="I33" s="55">
        <f t="shared" si="1"/>
        <v>0</v>
      </c>
      <c r="J33" s="56">
        <f>I33*'Grand Total'!$E$22</f>
        <v>0</v>
      </c>
    </row>
    <row r="34" spans="1:10" x14ac:dyDescent="0.2">
      <c r="A34" s="8"/>
      <c r="B34" s="58"/>
      <c r="C34" s="137"/>
      <c r="D34" s="92"/>
      <c r="E34" s="51"/>
      <c r="F34" s="52"/>
      <c r="G34" s="93"/>
      <c r="H34" s="94"/>
      <c r="I34" s="55"/>
      <c r="J34" s="55"/>
    </row>
    <row r="35" spans="1:10" ht="13.5" thickBot="1" x14ac:dyDescent="0.25">
      <c r="A35" s="8"/>
      <c r="B35" s="91"/>
      <c r="C35" s="89"/>
      <c r="D35" s="90"/>
      <c r="E35" s="60" t="s">
        <v>152</v>
      </c>
      <c r="F35" s="95"/>
      <c r="G35" s="96"/>
      <c r="H35" s="94"/>
      <c r="I35" s="55"/>
      <c r="J35" s="97"/>
    </row>
    <row r="36" spans="1:10" ht="13.5" thickBot="1" x14ac:dyDescent="0.25">
      <c r="A36" s="8"/>
      <c r="B36" s="98"/>
      <c r="C36" s="98"/>
      <c r="D36" s="98"/>
      <c r="E36" s="99" t="s">
        <v>0</v>
      </c>
      <c r="F36" s="66"/>
      <c r="G36" s="67"/>
      <c r="H36" s="68"/>
      <c r="I36" s="69"/>
      <c r="J36" s="118">
        <f>SUM(G10:G33)+SUM(J10:J33)</f>
        <v>0</v>
      </c>
    </row>
    <row r="37" spans="1:10" s="4" customFormat="1" ht="13.5" thickBot="1" x14ac:dyDescent="0.25">
      <c r="A37" s="62"/>
      <c r="B37" s="100"/>
      <c r="C37" s="100"/>
      <c r="D37" s="100"/>
      <c r="E37" s="101"/>
      <c r="F37" s="102"/>
      <c r="G37" s="103"/>
      <c r="H37" s="104"/>
      <c r="I37" s="105"/>
      <c r="J37" s="105"/>
    </row>
    <row r="38" spans="1:10" ht="36" customHeight="1" thickBot="1" x14ac:dyDescent="0.25">
      <c r="A38" s="8"/>
      <c r="B38" s="44" t="s">
        <v>2</v>
      </c>
      <c r="C38" s="44" t="s">
        <v>3</v>
      </c>
      <c r="D38" s="77" t="s">
        <v>1</v>
      </c>
      <c r="E38" s="45" t="s">
        <v>177</v>
      </c>
      <c r="F38" s="46" t="s">
        <v>130</v>
      </c>
      <c r="G38" s="46" t="s">
        <v>12</v>
      </c>
      <c r="H38" s="47" t="s">
        <v>9</v>
      </c>
      <c r="I38" s="47" t="s">
        <v>10</v>
      </c>
      <c r="J38" s="47" t="s">
        <v>11</v>
      </c>
    </row>
    <row r="39" spans="1:10" x14ac:dyDescent="0.2">
      <c r="A39" s="8"/>
      <c r="B39" s="88"/>
      <c r="C39" s="89"/>
      <c r="D39" s="128"/>
      <c r="E39" s="113"/>
      <c r="F39" s="32"/>
      <c r="G39" s="52">
        <f>+D39*F39</f>
        <v>0</v>
      </c>
      <c r="H39" s="87"/>
      <c r="I39" s="55">
        <f>H39*D39</f>
        <v>0</v>
      </c>
      <c r="J39" s="56">
        <f>I39*'Grand Total'!$E$22</f>
        <v>0</v>
      </c>
    </row>
    <row r="40" spans="1:10" x14ac:dyDescent="0.2">
      <c r="A40" s="8"/>
      <c r="B40" s="88"/>
      <c r="C40" s="89"/>
      <c r="D40" s="128"/>
      <c r="E40" s="113"/>
      <c r="F40" s="32"/>
      <c r="G40" s="52">
        <f t="shared" ref="G40:G43" si="2">+D40*F40</f>
        <v>0</v>
      </c>
      <c r="H40" s="87"/>
      <c r="I40" s="55">
        <f t="shared" ref="I40:I43" si="3">H40*D40</f>
        <v>0</v>
      </c>
      <c r="J40" s="56">
        <f>I40*'Grand Total'!$E$22</f>
        <v>0</v>
      </c>
    </row>
    <row r="41" spans="1:10" x14ac:dyDescent="0.2">
      <c r="A41" s="8"/>
      <c r="B41" s="88"/>
      <c r="C41" s="89"/>
      <c r="D41" s="128"/>
      <c r="E41" s="113"/>
      <c r="F41" s="32"/>
      <c r="G41" s="52">
        <f t="shared" si="2"/>
        <v>0</v>
      </c>
      <c r="H41" s="87"/>
      <c r="I41" s="55">
        <f t="shared" si="3"/>
        <v>0</v>
      </c>
      <c r="J41" s="56">
        <f>I41*'Grand Total'!$E$22</f>
        <v>0</v>
      </c>
    </row>
    <row r="42" spans="1:10" x14ac:dyDescent="0.2">
      <c r="A42" s="8"/>
      <c r="B42" s="88"/>
      <c r="C42" s="89"/>
      <c r="D42" s="128"/>
      <c r="E42" s="113"/>
      <c r="F42" s="32"/>
      <c r="G42" s="52">
        <f t="shared" si="2"/>
        <v>0</v>
      </c>
      <c r="H42" s="87"/>
      <c r="I42" s="55">
        <f t="shared" si="3"/>
        <v>0</v>
      </c>
      <c r="J42" s="56">
        <f>I42*'Grand Total'!$E$22</f>
        <v>0</v>
      </c>
    </row>
    <row r="43" spans="1:10" x14ac:dyDescent="0.2">
      <c r="A43" s="8"/>
      <c r="B43" s="88"/>
      <c r="C43" s="89"/>
      <c r="D43" s="128"/>
      <c r="E43" s="113"/>
      <c r="F43" s="32"/>
      <c r="G43" s="52">
        <f t="shared" si="2"/>
        <v>0</v>
      </c>
      <c r="H43" s="87"/>
      <c r="I43" s="55">
        <f t="shared" si="3"/>
        <v>0</v>
      </c>
      <c r="J43" s="56">
        <f>I43*'Grand Total'!$E$22</f>
        <v>0</v>
      </c>
    </row>
    <row r="44" spans="1:10" x14ac:dyDescent="0.2">
      <c r="A44" s="8"/>
      <c r="B44" s="88"/>
      <c r="C44" s="89"/>
      <c r="D44" s="128"/>
      <c r="E44" s="113"/>
      <c r="F44" s="32"/>
      <c r="G44" s="52">
        <f>+D44*F44</f>
        <v>0</v>
      </c>
      <c r="H44" s="87"/>
      <c r="I44" s="55">
        <f>H44*D44</f>
        <v>0</v>
      </c>
      <c r="J44" s="56">
        <f>I44*'Grand Total'!$E$22</f>
        <v>0</v>
      </c>
    </row>
    <row r="45" spans="1:10" ht="13.5" thickBot="1" x14ac:dyDescent="0.25">
      <c r="A45" s="8"/>
      <c r="B45" s="106"/>
      <c r="C45" s="105"/>
      <c r="D45" s="106"/>
      <c r="E45" s="107"/>
      <c r="F45" s="93"/>
      <c r="G45" s="108"/>
      <c r="H45" s="59"/>
      <c r="I45" s="106"/>
      <c r="J45" s="93"/>
    </row>
    <row r="46" spans="1:10" ht="13.5" thickBot="1" x14ac:dyDescent="0.25">
      <c r="A46" s="8"/>
      <c r="B46" s="80"/>
      <c r="C46" s="109"/>
      <c r="D46" s="80"/>
      <c r="E46" s="110" t="s">
        <v>15</v>
      </c>
      <c r="F46" s="111"/>
      <c r="G46" s="67"/>
      <c r="H46" s="68"/>
      <c r="I46" s="69"/>
      <c r="J46" s="70">
        <f>SUM(G39:G44)+SUM(J39:J44)</f>
        <v>0</v>
      </c>
    </row>
    <row r="47" spans="1:10" x14ac:dyDescent="0.2">
      <c r="A47" s="8"/>
      <c r="B47" s="8"/>
      <c r="C47" s="8"/>
      <c r="D47" s="8"/>
      <c r="E47" s="8"/>
      <c r="F47" s="23"/>
      <c r="G47" s="23"/>
      <c r="H47" s="8"/>
      <c r="I47" s="8"/>
      <c r="J47" s="8"/>
    </row>
    <row r="48" spans="1:10" x14ac:dyDescent="0.2">
      <c r="A48" s="8"/>
      <c r="B48" s="8"/>
      <c r="C48" s="8"/>
      <c r="D48" s="8"/>
      <c r="E48" s="8"/>
      <c r="F48" s="23"/>
      <c r="G48" s="23"/>
      <c r="H48" s="8"/>
      <c r="I48" s="8"/>
      <c r="J48" s="8"/>
    </row>
  </sheetData>
  <sheetProtection selectLockedCells="1"/>
  <mergeCells count="6">
    <mergeCell ref="E6:G6"/>
    <mergeCell ref="E1:G1"/>
    <mergeCell ref="E2:G2"/>
    <mergeCell ref="E3:G3"/>
    <mergeCell ref="E4:G4"/>
    <mergeCell ref="E5:G5"/>
  </mergeCells>
  <pageMargins left="1.5354330708661419" right="0.74803149606299213" top="0.39370078740157483" bottom="0.39370078740157483" header="0" footer="0"/>
  <pageSetup paperSize="9" scale="7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032FE30CE80C44AFEC31C0523D5286" ma:contentTypeVersion="1" ma:contentTypeDescription="Een nieuw document maken." ma:contentTypeScope="" ma:versionID="434d99fa78a152a48e7e8ac5ce62742e">
  <xsd:schema xmlns:xsd="http://www.w3.org/2001/XMLSchema" xmlns:xs="http://www.w3.org/2001/XMLSchema" xmlns:p="http://schemas.microsoft.com/office/2006/metadata/properties" xmlns:ns3="d242caf4-7a22-4208-86ed-8ba65f9a821b" targetNamespace="http://schemas.microsoft.com/office/2006/metadata/properties" ma:root="true" ma:fieldsID="68c8873e16a32bbb1f1bd89a67cb0ae4" ns3:_="">
    <xsd:import namespace="d242caf4-7a22-4208-86ed-8ba65f9a821b"/>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42caf4-7a22-4208-86ed-8ba65f9a821b"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8BE232-6480-46AB-9AF8-CDC740AF7AFE}">
  <ds:schemaRefs>
    <ds:schemaRef ds:uri="http://schemas.microsoft.com/sharepoint/v3/contenttype/forms"/>
  </ds:schemaRefs>
</ds:datastoreItem>
</file>

<file path=customXml/itemProps2.xml><?xml version="1.0" encoding="utf-8"?>
<ds:datastoreItem xmlns:ds="http://schemas.openxmlformats.org/officeDocument/2006/customXml" ds:itemID="{98105EC5-96AE-4EF1-A4D1-8CEA2BBCFBF7}">
  <ds:schemaRefs>
    <ds:schemaRef ds:uri="http://purl.org/dc/elements/1.1/"/>
    <ds:schemaRef ds:uri="http://schemas.microsoft.com/office/2006/metadata/properties"/>
    <ds:schemaRef ds:uri="d242caf4-7a22-4208-86ed-8ba65f9a821b"/>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EBBBA67-922D-40AF-8881-087DEDADC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42caf4-7a22-4208-86ed-8ba65f9a82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Grand Total</vt:lpstr>
      <vt:lpstr>Intruder</vt:lpstr>
      <vt:lpstr>CCTV</vt:lpstr>
      <vt:lpstr>Access</vt:lpstr>
      <vt:lpstr>PSIM (not required for now)</vt:lpstr>
    </vt:vector>
  </TitlesOfParts>
  <Company>Securitas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van den Berg</dc:creator>
  <cp:lastModifiedBy>Danilo Pesenti</cp:lastModifiedBy>
  <cp:lastPrinted>2014-06-12T13:41:39Z</cp:lastPrinted>
  <dcterms:created xsi:type="dcterms:W3CDTF">2007-02-23T10:19:47Z</dcterms:created>
  <dcterms:modified xsi:type="dcterms:W3CDTF">2019-07-29T14:22:20Z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0x010100B8032FE30CE80C44AFEC31C0523D5286</vt:lpwstr>
  </property>
</Properties>
</file>